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1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urrent\CFD\FA4307 - Failte Ireland\Coronavirus Supports\B2B Pricing Breakeven\Final Docs\Accommodation Calculator\"/>
    </mc:Choice>
  </mc:AlternateContent>
  <xr:revisionPtr revIDLastSave="0" documentId="11_3D35DF3B6E74C7B44B95ABDB0B311F13CBCE4427" xr6:coauthVersionLast="45" xr6:coauthVersionMax="45" xr10:uidLastSave="{00000000-0000-0000-0000-000000000000}"/>
  <bookViews>
    <workbookView xWindow="0" yWindow="0" windowWidth="28800" windowHeight="11700" firstSheet="3" activeTab="3" xr2:uid="{00000000-000D-0000-FFFF-FFFF00000000}"/>
  </bookViews>
  <sheets>
    <sheet name="Pricing &amp; Breakeven Calculator" sheetId="43" r:id="rId1"/>
    <sheet name="Cost Calculations" sheetId="44" r:id="rId2"/>
    <sheet name="Video Example" sheetId="39" r:id="rId3"/>
    <sheet name="Example" sheetId="45" r:id="rId4"/>
    <sheet name="Background Calcs - Hidden" sheetId="41" state="hidden" r:id="rId5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43" l="1"/>
  <c r="C42" i="43"/>
  <c r="C41" i="43"/>
  <c r="C40" i="43"/>
  <c r="C43" i="39"/>
  <c r="C42" i="39" l="1"/>
  <c r="C41" i="39"/>
  <c r="C40" i="39"/>
  <c r="C43" i="45"/>
  <c r="C42" i="45"/>
  <c r="C41" i="45"/>
  <c r="C40" i="45"/>
  <c r="F39" i="39" l="1"/>
  <c r="D39" i="39"/>
  <c r="Q64" i="41"/>
  <c r="Q53" i="41"/>
  <c r="Q50" i="41"/>
  <c r="Q49" i="41"/>
  <c r="Q48" i="41"/>
  <c r="Q46" i="41"/>
  <c r="Q29" i="41"/>
  <c r="Q30" i="41" s="1"/>
  <c r="Q26" i="41"/>
  <c r="Q27" i="41" s="1"/>
  <c r="Q23" i="41"/>
  <c r="Q22" i="41"/>
  <c r="Q19" i="41"/>
  <c r="Q18" i="41"/>
  <c r="Q14" i="41"/>
  <c r="Q13" i="41"/>
  <c r="Q12" i="41"/>
  <c r="Q8" i="41"/>
  <c r="Q7" i="41"/>
  <c r="Q6" i="41"/>
  <c r="O64" i="41"/>
  <c r="O53" i="41"/>
  <c r="O50" i="41"/>
  <c r="O49" i="41"/>
  <c r="O48" i="41"/>
  <c r="O46" i="41"/>
  <c r="O29" i="41"/>
  <c r="O30" i="41" s="1"/>
  <c r="O26" i="41"/>
  <c r="O27" i="41" s="1"/>
  <c r="O23" i="41"/>
  <c r="O22" i="41"/>
  <c r="O19" i="41"/>
  <c r="O18" i="41"/>
  <c r="O14" i="41"/>
  <c r="O13" i="41"/>
  <c r="O12" i="41"/>
  <c r="O8" i="41"/>
  <c r="O7" i="41"/>
  <c r="O6" i="41"/>
  <c r="I80" i="45"/>
  <c r="M58" i="45"/>
  <c r="I58" i="45"/>
  <c r="M53" i="45"/>
  <c r="I53" i="45"/>
  <c r="F39" i="45"/>
  <c r="Q44" i="41" s="1"/>
  <c r="D39" i="45"/>
  <c r="O44" i="41" s="1"/>
  <c r="M37" i="45"/>
  <c r="I37" i="45"/>
  <c r="O36" i="45"/>
  <c r="K36" i="45"/>
  <c r="O35" i="45"/>
  <c r="K35" i="45"/>
  <c r="O34" i="45"/>
  <c r="K34" i="45"/>
  <c r="O33" i="45"/>
  <c r="K33" i="45"/>
  <c r="O32" i="45"/>
  <c r="K32" i="45"/>
  <c r="O31" i="45"/>
  <c r="K31" i="45"/>
  <c r="O30" i="45"/>
  <c r="O37" i="45" s="1"/>
  <c r="N37" i="45" s="1"/>
  <c r="K30" i="45"/>
  <c r="N24" i="45"/>
  <c r="L24" i="45"/>
  <c r="F21" i="45"/>
  <c r="D21" i="45"/>
  <c r="C80" i="44"/>
  <c r="G58" i="44"/>
  <c r="C58" i="44"/>
  <c r="G53" i="44"/>
  <c r="C53" i="44"/>
  <c r="G37" i="44"/>
  <c r="C37" i="44"/>
  <c r="I36" i="44"/>
  <c r="E36" i="44"/>
  <c r="I35" i="44"/>
  <c r="E35" i="44"/>
  <c r="I34" i="44"/>
  <c r="E34" i="44"/>
  <c r="I33" i="44"/>
  <c r="E33" i="44"/>
  <c r="I32" i="44"/>
  <c r="E32" i="44"/>
  <c r="I31" i="44"/>
  <c r="E31" i="44"/>
  <c r="I30" i="44"/>
  <c r="E30" i="44"/>
  <c r="H24" i="44"/>
  <c r="F24" i="44"/>
  <c r="I58" i="39"/>
  <c r="I53" i="39"/>
  <c r="M58" i="39"/>
  <c r="K36" i="39"/>
  <c r="K35" i="39"/>
  <c r="K34" i="39"/>
  <c r="K33" i="39"/>
  <c r="K32" i="39"/>
  <c r="I37" i="39"/>
  <c r="K30" i="39"/>
  <c r="L24" i="39"/>
  <c r="E29" i="41"/>
  <c r="E30" i="41" s="1"/>
  <c r="C29" i="41"/>
  <c r="C30" i="41" s="1"/>
  <c r="C50" i="41"/>
  <c r="E50" i="41"/>
  <c r="K50" i="41"/>
  <c r="I50" i="41"/>
  <c r="K29" i="41"/>
  <c r="K30" i="41" s="1"/>
  <c r="I29" i="41"/>
  <c r="I30" i="41" s="1"/>
  <c r="I62" i="45" l="1"/>
  <c r="I64" i="45" s="1"/>
  <c r="O32" i="41"/>
  <c r="O55" i="41" s="1"/>
  <c r="O24" i="41"/>
  <c r="O20" i="41"/>
  <c r="O15" i="41"/>
  <c r="O10" i="41"/>
  <c r="O9" i="41"/>
  <c r="P41" i="41" s="1"/>
  <c r="M62" i="45"/>
  <c r="M64" i="45" s="1"/>
  <c r="Q32" i="41"/>
  <c r="F50" i="45" s="1"/>
  <c r="Q24" i="41"/>
  <c r="Q20" i="41"/>
  <c r="Q15" i="41"/>
  <c r="Q10" i="41"/>
  <c r="Q9" i="41"/>
  <c r="R41" i="41" s="1"/>
  <c r="K37" i="45"/>
  <c r="J37" i="45" s="1"/>
  <c r="R50" i="41"/>
  <c r="R49" i="41"/>
  <c r="O16" i="41"/>
  <c r="Q47" i="41"/>
  <c r="R47" i="41" s="1"/>
  <c r="Q43" i="41"/>
  <c r="R43" i="41" s="1"/>
  <c r="Q16" i="41"/>
  <c r="D50" i="45"/>
  <c r="Q52" i="41"/>
  <c r="R52" i="41" s="1"/>
  <c r="I37" i="44"/>
  <c r="H37" i="44" s="1"/>
  <c r="O33" i="41"/>
  <c r="Q36" i="41"/>
  <c r="Q45" i="41"/>
  <c r="R45" i="41" s="1"/>
  <c r="Q55" i="41"/>
  <c r="Q33" i="41"/>
  <c r="F54" i="45" s="1"/>
  <c r="P50" i="41"/>
  <c r="P49" i="41"/>
  <c r="P55" i="41"/>
  <c r="E37" i="44"/>
  <c r="D37" i="44" s="1"/>
  <c r="O47" i="41"/>
  <c r="P47" i="41" s="1"/>
  <c r="O45" i="41"/>
  <c r="P45" i="41" s="1"/>
  <c r="O52" i="41"/>
  <c r="P52" i="41" s="1"/>
  <c r="O43" i="41"/>
  <c r="P43" i="41" s="1"/>
  <c r="O57" i="41"/>
  <c r="O36" i="41"/>
  <c r="K31" i="39"/>
  <c r="K37" i="39" s="1"/>
  <c r="J37" i="39" s="1"/>
  <c r="K64" i="41"/>
  <c r="I64" i="41"/>
  <c r="K53" i="41"/>
  <c r="I53" i="41"/>
  <c r="K49" i="41"/>
  <c r="I49" i="41"/>
  <c r="K48" i="41"/>
  <c r="I48" i="41"/>
  <c r="K46" i="41"/>
  <c r="I46" i="41"/>
  <c r="K26" i="41"/>
  <c r="K27" i="41" s="1"/>
  <c r="I26" i="41"/>
  <c r="I27" i="41" s="1"/>
  <c r="K23" i="41"/>
  <c r="I23" i="41"/>
  <c r="K22" i="41"/>
  <c r="I22" i="41"/>
  <c r="K19" i="41"/>
  <c r="I19" i="41"/>
  <c r="K18" i="41"/>
  <c r="I18" i="41"/>
  <c r="K14" i="41"/>
  <c r="I14" i="41"/>
  <c r="K13" i="41"/>
  <c r="I13" i="41"/>
  <c r="K12" i="41"/>
  <c r="I12" i="41"/>
  <c r="K8" i="41"/>
  <c r="I8" i="41"/>
  <c r="K7" i="41"/>
  <c r="I7" i="41"/>
  <c r="K6" i="41"/>
  <c r="I6" i="41"/>
  <c r="E64" i="41"/>
  <c r="C64" i="41"/>
  <c r="E53" i="41"/>
  <c r="C53" i="41"/>
  <c r="E49" i="41"/>
  <c r="C49" i="41"/>
  <c r="E48" i="41"/>
  <c r="C48" i="41"/>
  <c r="E46" i="41"/>
  <c r="C46" i="41"/>
  <c r="E44" i="41"/>
  <c r="C44" i="41"/>
  <c r="E26" i="41"/>
  <c r="E27" i="41" s="1"/>
  <c r="C26" i="41"/>
  <c r="C27" i="41" s="1"/>
  <c r="E23" i="41"/>
  <c r="C23" i="41"/>
  <c r="E22" i="41"/>
  <c r="C22" i="41"/>
  <c r="E19" i="41"/>
  <c r="C19" i="41"/>
  <c r="E18" i="41"/>
  <c r="C18" i="41"/>
  <c r="E14" i="41"/>
  <c r="C14" i="41"/>
  <c r="E13" i="41"/>
  <c r="C13" i="41"/>
  <c r="E12" i="41"/>
  <c r="C12" i="41"/>
  <c r="E8" i="41"/>
  <c r="C8" i="41"/>
  <c r="E7" i="41"/>
  <c r="C7" i="41"/>
  <c r="E6" i="41"/>
  <c r="C6" i="41"/>
  <c r="F21" i="43"/>
  <c r="D21" i="43"/>
  <c r="O31" i="39"/>
  <c r="I80" i="39"/>
  <c r="M53" i="39"/>
  <c r="O36" i="39"/>
  <c r="O35" i="39"/>
  <c r="O34" i="39"/>
  <c r="O33" i="39"/>
  <c r="O32" i="39"/>
  <c r="O30" i="39"/>
  <c r="N24" i="39"/>
  <c r="O34" i="41" l="1"/>
  <c r="D54" i="45"/>
  <c r="Q57" i="41"/>
  <c r="R55" i="41"/>
  <c r="C24" i="41"/>
  <c r="C47" i="41" s="1"/>
  <c r="C62" i="44"/>
  <c r="C64" i="44" s="1"/>
  <c r="E24" i="41"/>
  <c r="E47" i="41" s="1"/>
  <c r="G62" i="44"/>
  <c r="G64" i="44" s="1"/>
  <c r="E32" i="41"/>
  <c r="E55" i="41" s="1"/>
  <c r="J76" i="45"/>
  <c r="D74" i="44"/>
  <c r="J75" i="45"/>
  <c r="D79" i="44"/>
  <c r="D75" i="44"/>
  <c r="J74" i="45"/>
  <c r="D78" i="44"/>
  <c r="D76" i="44"/>
  <c r="J77" i="45"/>
  <c r="J79" i="45"/>
  <c r="D77" i="44"/>
  <c r="J78" i="45"/>
  <c r="E33" i="41"/>
  <c r="F54" i="43" s="1"/>
  <c r="Q34" i="41"/>
  <c r="Q37" i="41"/>
  <c r="O37" i="41"/>
  <c r="E10" i="41"/>
  <c r="C20" i="41"/>
  <c r="C45" i="41" s="1"/>
  <c r="E20" i="41"/>
  <c r="E45" i="41" s="1"/>
  <c r="C9" i="41"/>
  <c r="D41" i="41" s="1"/>
  <c r="E9" i="41"/>
  <c r="F41" i="41" s="1"/>
  <c r="C33" i="41"/>
  <c r="C32" i="41"/>
  <c r="C55" i="41" s="1"/>
  <c r="C10" i="41"/>
  <c r="C15" i="41"/>
  <c r="E15" i="41"/>
  <c r="E16" i="41"/>
  <c r="C16" i="41"/>
  <c r="M37" i="39"/>
  <c r="O37" i="39"/>
  <c r="D21" i="39"/>
  <c r="I33" i="41" s="1"/>
  <c r="I32" i="41" l="1"/>
  <c r="I62" i="39"/>
  <c r="I64" i="39" s="1"/>
  <c r="F55" i="45"/>
  <c r="F59" i="45" s="1"/>
  <c r="F51" i="45"/>
  <c r="O56" i="41"/>
  <c r="P56" i="41" s="1"/>
  <c r="D51" i="45"/>
  <c r="D55" i="45"/>
  <c r="D59" i="45" s="1"/>
  <c r="C43" i="41"/>
  <c r="D43" i="41" s="1"/>
  <c r="J80" i="45"/>
  <c r="I85" i="45" s="1"/>
  <c r="D80" i="44"/>
  <c r="C85" i="44" s="1"/>
  <c r="Q38" i="41"/>
  <c r="Q56" i="41"/>
  <c r="R56" i="41" s="1"/>
  <c r="R59" i="41" s="1"/>
  <c r="F57" i="45" s="1"/>
  <c r="O38" i="41"/>
  <c r="F49" i="41"/>
  <c r="F50" i="41"/>
  <c r="D49" i="41"/>
  <c r="D50" i="41"/>
  <c r="N37" i="39"/>
  <c r="I20" i="41"/>
  <c r="I45" i="41" s="1"/>
  <c r="I24" i="41"/>
  <c r="I47" i="41" s="1"/>
  <c r="I15" i="41"/>
  <c r="I10" i="41"/>
  <c r="I9" i="41"/>
  <c r="I16" i="41"/>
  <c r="E43" i="41"/>
  <c r="F43" i="41" s="1"/>
  <c r="D55" i="41"/>
  <c r="D47" i="41"/>
  <c r="F45" i="41"/>
  <c r="C37" i="41"/>
  <c r="C52" i="41"/>
  <c r="D52" i="41" s="1"/>
  <c r="D45" i="41"/>
  <c r="E52" i="41"/>
  <c r="F52" i="41" s="1"/>
  <c r="E57" i="41"/>
  <c r="F47" i="41"/>
  <c r="C34" i="41"/>
  <c r="C56" i="41" s="1"/>
  <c r="E36" i="41"/>
  <c r="F55" i="41"/>
  <c r="C36" i="41"/>
  <c r="E37" i="41"/>
  <c r="C57" i="41"/>
  <c r="E34" i="41"/>
  <c r="F55" i="43" s="1"/>
  <c r="F59" i="43" s="1"/>
  <c r="I34" i="41"/>
  <c r="D50" i="43"/>
  <c r="F50" i="43"/>
  <c r="D54" i="43"/>
  <c r="K44" i="41"/>
  <c r="I44" i="41"/>
  <c r="F21" i="39"/>
  <c r="M62" i="39" l="1"/>
  <c r="M64" i="39" s="1"/>
  <c r="K32" i="41"/>
  <c r="K15" i="41"/>
  <c r="K9" i="41"/>
  <c r="K24" i="41"/>
  <c r="K47" i="41" s="1"/>
  <c r="K20" i="41"/>
  <c r="K45" i="41" s="1"/>
  <c r="K10" i="41"/>
  <c r="K33" i="41"/>
  <c r="K16" i="41"/>
  <c r="Q62" i="41"/>
  <c r="F58" i="45" s="1"/>
  <c r="Q58" i="41"/>
  <c r="Q63" i="41"/>
  <c r="Q65" i="41" s="1"/>
  <c r="P59" i="41"/>
  <c r="O62" i="41" s="1"/>
  <c r="D58" i="45" s="1"/>
  <c r="O58" i="41"/>
  <c r="O63" i="41"/>
  <c r="O65" i="41" s="1"/>
  <c r="I43" i="41"/>
  <c r="J41" i="41"/>
  <c r="J50" i="41" s="1"/>
  <c r="I52" i="41"/>
  <c r="I55" i="41"/>
  <c r="I36" i="41"/>
  <c r="I37" i="41"/>
  <c r="C38" i="41"/>
  <c r="E56" i="41"/>
  <c r="F51" i="43"/>
  <c r="E38" i="41"/>
  <c r="I38" i="41"/>
  <c r="I56" i="41"/>
  <c r="C58" i="41"/>
  <c r="D56" i="41"/>
  <c r="D59" i="41" s="1"/>
  <c r="C63" i="41"/>
  <c r="C65" i="41" s="1"/>
  <c r="D51" i="43"/>
  <c r="D55" i="43"/>
  <c r="D59" i="43" s="1"/>
  <c r="J79" i="39"/>
  <c r="J78" i="39"/>
  <c r="J74" i="39"/>
  <c r="J76" i="39"/>
  <c r="J77" i="39"/>
  <c r="J75" i="39"/>
  <c r="D51" i="39"/>
  <c r="K34" i="41" l="1"/>
  <c r="K37" i="41"/>
  <c r="L41" i="41"/>
  <c r="K52" i="41"/>
  <c r="L52" i="41" s="1"/>
  <c r="K43" i="41"/>
  <c r="K55" i="41"/>
  <c r="K36" i="41"/>
  <c r="D57" i="45"/>
  <c r="F56" i="41"/>
  <c r="F59" i="41" s="1"/>
  <c r="E62" i="41" s="1"/>
  <c r="F58" i="43" s="1"/>
  <c r="E63" i="41"/>
  <c r="E65" i="41" s="1"/>
  <c r="I63" i="41"/>
  <c r="I65" i="41" s="1"/>
  <c r="J43" i="41"/>
  <c r="J52" i="41"/>
  <c r="I57" i="41"/>
  <c r="J55" i="41"/>
  <c r="J49" i="41"/>
  <c r="J47" i="41"/>
  <c r="J45" i="41"/>
  <c r="C62" i="41"/>
  <c r="D58" i="43" s="1"/>
  <c r="E58" i="41"/>
  <c r="I58" i="41"/>
  <c r="J56" i="41"/>
  <c r="D57" i="43"/>
  <c r="J80" i="39"/>
  <c r="I85" i="39" s="1"/>
  <c r="F50" i="39"/>
  <c r="F54" i="39"/>
  <c r="D50" i="39"/>
  <c r="D54" i="39"/>
  <c r="D55" i="39"/>
  <c r="D59" i="39" s="1"/>
  <c r="K57" i="41" l="1"/>
  <c r="L55" i="41"/>
  <c r="L43" i="41"/>
  <c r="L50" i="41"/>
  <c r="L49" i="41"/>
  <c r="L45" i="41"/>
  <c r="L47" i="41"/>
  <c r="K56" i="41"/>
  <c r="K63" i="41" s="1"/>
  <c r="K65" i="41" s="1"/>
  <c r="K38" i="41"/>
  <c r="J59" i="41"/>
  <c r="F57" i="43"/>
  <c r="F51" i="39"/>
  <c r="F55" i="39"/>
  <c r="F59" i="39" s="1"/>
  <c r="K58" i="41" l="1"/>
  <c r="L56" i="41"/>
  <c r="L59" i="41" s="1"/>
  <c r="K62" i="41" s="1"/>
  <c r="F58" i="39" s="1"/>
  <c r="I62" i="41"/>
  <c r="D57" i="39"/>
  <c r="F57" i="39" l="1"/>
  <c r="D58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Mairea Doyle-Balfe</author>
  </authors>
  <commentList>
    <comment ref="B24" authorId="0" shapeId="0" xr:uid="{00000000-0006-0000-0000-000001000000}">
      <text>
        <r>
          <rPr>
            <sz val="9"/>
            <color indexed="81"/>
            <rFont val="Tahoma"/>
            <family val="2"/>
          </rPr>
          <t>An 'Add-On' may be dinner, a beverage/wine with dinner, ticket for show, spa treatment or other experience.
This will be calculated for the total number of guests.</t>
        </r>
      </text>
    </comment>
    <comment ref="B3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This is a one-off inclusion that is not based on the total number of guests. It can be used when a smaller number of the group are completing an activity, for example, golf, spa treatment, local gin cocktail making class, guided tour walk. </t>
        </r>
      </text>
    </comment>
    <comment ref="B39" authorId="0" shapeId="0" xr:uid="{00000000-0006-0000-0000-000003000000}">
      <text>
        <r>
          <rPr>
            <sz val="9"/>
            <color indexed="81"/>
            <rFont val="Tahoma"/>
            <family val="2"/>
          </rPr>
          <t>This will include the cost of the room cleaning as well as the breakfast, dinner and other direct variable costs.</t>
        </r>
      </text>
    </comment>
    <comment ref="B40" authorId="0" shapeId="0" xr:uid="{00000000-0006-0000-0000-000004000000}">
      <text>
        <r>
          <rPr>
            <sz val="9"/>
            <color indexed="81"/>
            <rFont val="Tahoma"/>
            <family val="2"/>
          </rPr>
          <t>These are the cost of sales and variable costs for the 1st Add-on. They are based on per unit/package/person.
Go to calculations sheet if you need to work this out.</t>
        </r>
      </text>
    </comment>
    <comment ref="B41" authorId="0" shapeId="0" xr:uid="{00000000-0006-0000-0000-000005000000}">
      <text>
        <r>
          <rPr>
            <sz val="9"/>
            <color indexed="81"/>
            <rFont val="Tahoma"/>
            <family val="2"/>
          </rPr>
          <t>These are the cost of sales and variable costs for the 2nd Add-on. They are based on per unit/package/person.
Go to calculations sheet if you need to work this out.</t>
        </r>
      </text>
    </comment>
    <comment ref="B42" authorId="0" shapeId="0" xr:uid="{00000000-0006-0000-0000-000006000000}">
      <text>
        <r>
          <rPr>
            <sz val="9"/>
            <color indexed="81"/>
            <rFont val="Tahoma"/>
            <family val="2"/>
          </rPr>
          <t>This is the cost of sale and variable costs of the 1st One-Off inclusion.  For example, if it was a special entertainment in the bar, it is the cost of the entertainment/band.</t>
        </r>
      </text>
    </comment>
    <comment ref="B43" authorId="0" shapeId="0" xr:uid="{00000000-0006-0000-0000-000007000000}">
      <text>
        <r>
          <rPr>
            <sz val="9"/>
            <color indexed="81"/>
            <rFont val="Tahoma"/>
            <family val="2"/>
          </rPr>
          <t>This is the cost of sale and variable costs of the 2nd One-Off inclusion.  For example, if it golf rounds, gin making class or other activity it is the cost of this activity.</t>
        </r>
      </text>
    </comment>
    <comment ref="B44" authorId="0" shapeId="0" xr:uid="{00000000-0006-0000-0000-000008000000}">
      <text>
        <r>
          <rPr>
            <sz val="9"/>
            <color indexed="81"/>
            <rFont val="Tahoma"/>
            <family val="2"/>
          </rPr>
          <t>These are the cost of sales and direct variable costs for the discretionary spend, e.g. additional bar or gift shop spend per person</t>
        </r>
      </text>
    </comment>
    <comment ref="B45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This is applicable only for online commission costs, i.e. GDS
</t>
        </r>
      </text>
    </comment>
    <comment ref="B46" authorId="0" shapeId="0" xr:uid="{00000000-0006-0000-0000-00000A000000}">
      <text>
        <r>
          <rPr>
            <sz val="9"/>
            <color indexed="81"/>
            <rFont val="Tahoma"/>
            <family val="2"/>
          </rPr>
          <t>Enter a % here, for the variable level of staff to service this booking - this will impact changes in the number of packages sold.</t>
        </r>
      </text>
    </comment>
    <comment ref="B47" authorId="0" shapeId="0" xr:uid="{00000000-0006-0000-0000-00000B000000}">
      <text>
        <r>
          <rPr>
            <sz val="9"/>
            <color indexed="81"/>
            <rFont val="Tahoma"/>
            <family val="2"/>
          </rPr>
          <t>Enter a value amount here, for the base level of staff that you will require.
Go to the Calculations sheet if you need to work this out.</t>
        </r>
      </text>
    </comment>
    <comment ref="B48" authorId="0" shapeId="0" xr:uid="{00000000-0006-0000-0000-00000C000000}">
      <text>
        <r>
          <rPr>
            <sz val="9"/>
            <color indexed="81"/>
            <rFont val="Tahoma"/>
            <family val="2"/>
          </rPr>
          <t>Determine what level of fixed costs you would like to cover, i.e. your fixed cost contribution.
See the calculations sheet for more information.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Mairea Doyle-Balfe</author>
  </authors>
  <commentList>
    <comment ref="B24" authorId="0" shapeId="0" xr:uid="{00000000-0006-0000-0200-000001000000}">
      <text>
        <r>
          <rPr>
            <sz val="9"/>
            <color indexed="81"/>
            <rFont val="Tahoma"/>
            <family val="2"/>
          </rPr>
          <t>An 'Add-On' may be dinner, a beverage/wine with dinner, ticket for show, spa treatment or other experience.
This will be calculated for the total number of guests.</t>
        </r>
      </text>
    </comment>
    <comment ref="B30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This is a one-off inclusion that is not based on the total number of guests. It can be used when a smaller number of the group are completing an activity, for example, golf, spa treatment, local gin cocktail making class, guided tour walk. </t>
        </r>
      </text>
    </comment>
    <comment ref="B39" authorId="0" shapeId="0" xr:uid="{00000000-0006-0000-0200-000003000000}">
      <text>
        <r>
          <rPr>
            <sz val="9"/>
            <color indexed="81"/>
            <rFont val="Tahoma"/>
            <family val="2"/>
          </rPr>
          <t>This will include the variable cost of the basic package such as room cleaning as well as the breakfast, dinner and other direct variable costs. This will be per unit/package/person.</t>
        </r>
      </text>
    </comment>
    <comment ref="B40" authorId="0" shapeId="0" xr:uid="{00000000-0006-0000-0200-000004000000}">
      <text>
        <r>
          <rPr>
            <sz val="9"/>
            <color indexed="81"/>
            <rFont val="Tahoma"/>
            <family val="2"/>
          </rPr>
          <t>These are the cost of sales and variable costs for the 1st Add-on. They are based on per unit/package/person.
Go to calculations sheet if you need to work this out.</t>
        </r>
      </text>
    </comment>
    <comment ref="B41" authorId="0" shapeId="0" xr:uid="{00000000-0006-0000-0200-000005000000}">
      <text>
        <r>
          <rPr>
            <sz val="9"/>
            <color indexed="81"/>
            <rFont val="Tahoma"/>
            <family val="2"/>
          </rPr>
          <t>These are the cost of sales and variable costs for the 2nd Add-on. They are based on per unit/package/person.
Go to calculations sheet if you need to work this out.</t>
        </r>
      </text>
    </comment>
    <comment ref="B42" authorId="0" shapeId="0" xr:uid="{00000000-0006-0000-0200-000006000000}">
      <text>
        <r>
          <rPr>
            <sz val="9"/>
            <color indexed="81"/>
            <rFont val="Tahoma"/>
            <family val="2"/>
          </rPr>
          <t>This is the cost of sale and variable costs of the 1st One-Off inclusion.  For example, if it was a special entertainment in the bar, it is the cost of the entertainment/band.</t>
        </r>
      </text>
    </comment>
    <comment ref="B43" authorId="0" shapeId="0" xr:uid="{00000000-0006-0000-0200-000007000000}">
      <text>
        <r>
          <rPr>
            <sz val="9"/>
            <color indexed="81"/>
            <rFont val="Tahoma"/>
            <family val="2"/>
          </rPr>
          <t>This is the cost of sale and variable costs of the 2nd One-Off inclusion.  For example, if it golf rounds, gin making class or other activity it is the cost of this activity.</t>
        </r>
      </text>
    </comment>
    <comment ref="B44" authorId="0" shapeId="0" xr:uid="{00000000-0006-0000-0200-000008000000}">
      <text>
        <r>
          <rPr>
            <sz val="9"/>
            <color indexed="81"/>
            <rFont val="Tahoma"/>
            <family val="2"/>
          </rPr>
          <t>These are the cost of sales and direct variable costs for the discretionary spend, e.g. additional bar or gift shop spend per person</t>
        </r>
      </text>
    </comment>
    <comment ref="B45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This is applicable only for online commission costs, i.e. GDS
</t>
        </r>
      </text>
    </comment>
    <comment ref="B46" authorId="0" shapeId="0" xr:uid="{00000000-0006-0000-0200-00000A000000}">
      <text>
        <r>
          <rPr>
            <sz val="9"/>
            <color indexed="81"/>
            <rFont val="Tahoma"/>
            <family val="2"/>
          </rPr>
          <t>Enter a % here, for the variable level of staff to service this booking - this will impact changes in the number of packages sold.</t>
        </r>
      </text>
    </comment>
    <comment ref="B47" authorId="0" shapeId="0" xr:uid="{00000000-0006-0000-0200-00000B000000}">
      <text>
        <r>
          <rPr>
            <sz val="9"/>
            <color indexed="81"/>
            <rFont val="Tahoma"/>
            <family val="2"/>
          </rPr>
          <t>Enter a value amount here, for the base level of staff that you will require.
Go to the Calculations sheet if you need to work this out.</t>
        </r>
      </text>
    </comment>
    <comment ref="B48" authorId="0" shapeId="0" xr:uid="{00000000-0006-0000-0200-00000C000000}">
      <text>
        <r>
          <rPr>
            <sz val="9"/>
            <color indexed="81"/>
            <rFont val="Tahoma"/>
            <family val="2"/>
          </rPr>
          <t>Determine what level of fixed costs you would like to cover, i.e. your fixed cost contribution.
See the calculations sheet for more information.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Mairea Doyle-Balfe</author>
  </authors>
  <commentList>
    <comment ref="B24" authorId="0" shapeId="0" xr:uid="{00000000-0006-0000-0300-000001000000}">
      <text>
        <r>
          <rPr>
            <sz val="9"/>
            <color indexed="81"/>
            <rFont val="Tahoma"/>
            <family val="2"/>
          </rPr>
          <t>An 'Add-On' may be dinner, a beverage/wine with dinner, ticket for show, spa treatment or other experience.
This will be calculated for the total number of guests.</t>
        </r>
      </text>
    </comment>
    <comment ref="B30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This is a one-off inclusion that is not based on the total number of guests. It can be used when a smaller number of the group are completing an activity, for example, golf, spa treatment, local gin cocktail making class, guided tour walk. </t>
        </r>
      </text>
    </comment>
    <comment ref="B39" authorId="0" shapeId="0" xr:uid="{00000000-0006-0000-0300-000003000000}">
      <text>
        <r>
          <rPr>
            <sz val="9"/>
            <color indexed="81"/>
            <rFont val="Tahoma"/>
            <family val="2"/>
          </rPr>
          <t>This will include the variable cost of the basic package such as room cleaning as well as the breakfast, dinner and other direct variable costs. This will be per unit/package/person.</t>
        </r>
      </text>
    </comment>
    <comment ref="B40" authorId="0" shapeId="0" xr:uid="{00000000-0006-0000-0300-000004000000}">
      <text>
        <r>
          <rPr>
            <sz val="9"/>
            <color indexed="81"/>
            <rFont val="Tahoma"/>
            <family val="2"/>
          </rPr>
          <t>These are the cost of sales and variable costs for the 1st Add-on. They are based on per unit/package/person.
Go to calculations sheet if you need to work this out.</t>
        </r>
      </text>
    </comment>
    <comment ref="B41" authorId="0" shapeId="0" xr:uid="{00000000-0006-0000-0300-000005000000}">
      <text>
        <r>
          <rPr>
            <sz val="9"/>
            <color indexed="81"/>
            <rFont val="Tahoma"/>
            <family val="2"/>
          </rPr>
          <t>These are the cost of sales and variable costs for the 2nd Add-on. They are based on per unit/package/person.
Go to calculations sheet if you need to work this out.</t>
        </r>
      </text>
    </comment>
    <comment ref="B42" authorId="0" shapeId="0" xr:uid="{00000000-0006-0000-0300-000006000000}">
      <text>
        <r>
          <rPr>
            <sz val="9"/>
            <color indexed="81"/>
            <rFont val="Tahoma"/>
            <family val="2"/>
          </rPr>
          <t>This is the cost of sale and variable costs of the 1st One-Off inclusion.  For example, if it was a special entertainment in the bar, it is the cost of the entertainment/band.</t>
        </r>
      </text>
    </comment>
    <comment ref="B43" authorId="0" shapeId="0" xr:uid="{00000000-0006-0000-0300-000007000000}">
      <text>
        <r>
          <rPr>
            <sz val="9"/>
            <color indexed="81"/>
            <rFont val="Tahoma"/>
            <family val="2"/>
          </rPr>
          <t>This is the cost of sale and variable costs of the 2nd One-Off inclusion.  For example, if it golf rounds, gin making class or other activity it is the cost of this activity.</t>
        </r>
      </text>
    </comment>
    <comment ref="B44" authorId="0" shapeId="0" xr:uid="{00000000-0006-0000-0300-000008000000}">
      <text>
        <r>
          <rPr>
            <sz val="9"/>
            <color indexed="81"/>
            <rFont val="Tahoma"/>
            <family val="2"/>
          </rPr>
          <t>These are the cost of sales and direct variable costs for the discretionary spend, e.g. additional bar or gift shop spend per person</t>
        </r>
      </text>
    </comment>
    <comment ref="B45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This is applicable only for online commission costs, i.e. GDS
</t>
        </r>
      </text>
    </comment>
    <comment ref="B46" authorId="0" shapeId="0" xr:uid="{00000000-0006-0000-0300-00000A000000}">
      <text>
        <r>
          <rPr>
            <sz val="9"/>
            <color indexed="81"/>
            <rFont val="Tahoma"/>
            <family val="2"/>
          </rPr>
          <t>Enter a % here, for the variable level of staff to service this booking - this will impact changes in the number of packages sold.</t>
        </r>
      </text>
    </comment>
    <comment ref="B47" authorId="0" shapeId="0" xr:uid="{00000000-0006-0000-0300-00000B000000}">
      <text>
        <r>
          <rPr>
            <sz val="9"/>
            <color indexed="81"/>
            <rFont val="Tahoma"/>
            <family val="2"/>
          </rPr>
          <t>Enter a value amount here, for the base level of staff that you will require.
Go to the Calculations sheet if you need to work this out.</t>
        </r>
      </text>
    </comment>
    <comment ref="B48" authorId="0" shapeId="0" xr:uid="{00000000-0006-0000-0300-00000C000000}">
      <text>
        <r>
          <rPr>
            <sz val="9"/>
            <color indexed="81"/>
            <rFont val="Tahoma"/>
            <family val="2"/>
          </rPr>
          <t>Determine what level of fixed costs you would like to cover, i.e. your fixed cost contribution.
See the calculations sheet for more information.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<sst xmlns="http://schemas.openxmlformats.org/spreadsheetml/2006/main" count="659" uniqueCount="197">
  <si>
    <t>Accommodation Pricing and Breakeven Calculator</t>
  </si>
  <si>
    <t>Instructions</t>
  </si>
  <si>
    <t>Complete the orange cells only.</t>
  </si>
  <si>
    <t>Go to the  'Cost Calculations' sheet if you need to work out detailed payroll, variable or fixed costs, in advance of this calculation.</t>
  </si>
  <si>
    <t>Go to 'Breakeven Example' sheet if you would like to see an example of this calculator.</t>
  </si>
  <si>
    <t>The comparison column is for you to directly compare options in pricing/volume.</t>
  </si>
  <si>
    <t>For futher information on the costs and 'add-ons', hover over the cell with the red triangle.</t>
  </si>
  <si>
    <t>Breakeven</t>
  </si>
  <si>
    <t>Option 1</t>
  </si>
  <si>
    <t>Comparison</t>
  </si>
  <si>
    <t>Price and Volume Questions:</t>
  </si>
  <si>
    <t>Insert the package price per person - double occupancy</t>
  </si>
  <si>
    <t>Number of guests</t>
  </si>
  <si>
    <t>Insert the package price per person - single occupancy</t>
  </si>
  <si>
    <t>Insert the package price per person - triple occupancy</t>
  </si>
  <si>
    <t>Total number of guests on packages (calculated)</t>
  </si>
  <si>
    <t>Insert the correct VAT Rate - per package</t>
  </si>
  <si>
    <r>
      <t xml:space="preserve">Insert </t>
    </r>
    <r>
      <rPr>
        <b/>
        <sz val="10"/>
        <rFont val="Arial"/>
        <family val="2"/>
      </rPr>
      <t>1st Add-On</t>
    </r>
    <r>
      <rPr>
        <sz val="10"/>
        <rFont val="Arial"/>
        <family val="2"/>
      </rPr>
      <t xml:space="preserve"> including VAT (amount per person)</t>
    </r>
  </si>
  <si>
    <t>Name of add on</t>
  </si>
  <si>
    <t>Insert the correct VAT Rate</t>
  </si>
  <si>
    <r>
      <t xml:space="preserve">Insert </t>
    </r>
    <r>
      <rPr>
        <b/>
        <sz val="10"/>
        <rFont val="Arial"/>
        <family val="2"/>
      </rPr>
      <t>2nd Add-On</t>
    </r>
    <r>
      <rPr>
        <sz val="10"/>
        <rFont val="Arial"/>
        <family val="2"/>
      </rPr>
      <t xml:space="preserve"> including VAT (amount per person)</t>
    </r>
  </si>
  <si>
    <r>
      <t xml:space="preserve">Insert </t>
    </r>
    <r>
      <rPr>
        <b/>
        <sz val="10"/>
        <color theme="1"/>
        <rFont val="Arial"/>
        <family val="2"/>
      </rPr>
      <t>1st One-Off inclusion</t>
    </r>
    <r>
      <rPr>
        <sz val="10"/>
        <color theme="1"/>
        <rFont val="Arial"/>
        <family val="2"/>
      </rPr>
      <t xml:space="preserve"> - inc VAT (total amount)</t>
    </r>
  </si>
  <si>
    <t>Name of One-Off incl</t>
  </si>
  <si>
    <r>
      <t xml:space="preserve">Insert </t>
    </r>
    <r>
      <rPr>
        <b/>
        <sz val="10"/>
        <color theme="1"/>
        <rFont val="Arial"/>
        <family val="2"/>
      </rPr>
      <t>2nd One-Off inclusion</t>
    </r>
    <r>
      <rPr>
        <sz val="10"/>
        <color theme="1"/>
        <rFont val="Arial"/>
        <family val="2"/>
      </rPr>
      <t xml:space="preserve"> - inc VAT (total amount)</t>
    </r>
  </si>
  <si>
    <t>Name of One-off Incl</t>
  </si>
  <si>
    <t>Estimated additional discretionary customer spend pp? (Net of VAT)</t>
  </si>
  <si>
    <t>Cost Questions:</t>
  </si>
  <si>
    <r>
      <t xml:space="preserve">Insert </t>
    </r>
    <r>
      <rPr>
        <b/>
        <sz val="10"/>
        <color theme="1"/>
        <rFont val="Arial"/>
        <family val="2"/>
      </rPr>
      <t>package</t>
    </r>
    <r>
      <rPr>
        <sz val="10"/>
        <color theme="1"/>
        <rFont val="Arial"/>
        <family val="2"/>
      </rPr>
      <t xml:space="preserve"> variable cost per person</t>
    </r>
  </si>
  <si>
    <r>
      <t xml:space="preserve">Insert Cost of Sales &amp; variable costs for </t>
    </r>
    <r>
      <rPr>
        <b/>
        <sz val="10"/>
        <rFont val="Arial"/>
        <family val="2"/>
      </rPr>
      <t>1st Add-On</t>
    </r>
  </si>
  <si>
    <r>
      <t xml:space="preserve">Insert Cost of Sales &amp; variable costs for </t>
    </r>
    <r>
      <rPr>
        <b/>
        <sz val="10"/>
        <color theme="1"/>
        <rFont val="Arial"/>
        <family val="2"/>
      </rPr>
      <t>2nd Add-On</t>
    </r>
  </si>
  <si>
    <r>
      <t xml:space="preserve">Insert cost of sales &amp; variable costs for </t>
    </r>
    <r>
      <rPr>
        <b/>
        <sz val="10"/>
        <color theme="1"/>
        <rFont val="Arial"/>
        <family val="2"/>
      </rPr>
      <t xml:space="preserve">1st One Off </t>
    </r>
    <r>
      <rPr>
        <sz val="10"/>
        <color theme="1"/>
        <rFont val="Arial"/>
        <family val="2"/>
      </rPr>
      <t>inclusion</t>
    </r>
  </si>
  <si>
    <r>
      <t xml:space="preserve">Insert cost of sales &amp; variable costs for </t>
    </r>
    <r>
      <rPr>
        <b/>
        <sz val="10"/>
        <color theme="1"/>
        <rFont val="Arial"/>
        <family val="2"/>
      </rPr>
      <t xml:space="preserve">2nd One Off </t>
    </r>
    <r>
      <rPr>
        <sz val="10"/>
        <color theme="1"/>
        <rFont val="Arial"/>
        <family val="2"/>
      </rPr>
      <t>inclusion</t>
    </r>
  </si>
  <si>
    <t>Discretionary spend and other variable costs</t>
  </si>
  <si>
    <t>Insert GDS/other commission cost % - if applicable</t>
  </si>
  <si>
    <t>What is your variable payroll cost %?</t>
  </si>
  <si>
    <t>What is your base fixed payroll cost?</t>
  </si>
  <si>
    <t>Insert Fixed Cost Contribution</t>
  </si>
  <si>
    <t>Average Price per person (inc Vat) (excl discretionary spend)</t>
  </si>
  <si>
    <t>Net Average Spend pp (less Vat) (incl discretionary spend)</t>
  </si>
  <si>
    <r>
      <t xml:space="preserve">Total Net Sales (less VAT) </t>
    </r>
    <r>
      <rPr>
        <sz val="10"/>
        <color theme="1"/>
        <rFont val="Arial"/>
        <family val="2"/>
      </rPr>
      <t>excluding discretionary spend</t>
    </r>
  </si>
  <si>
    <r>
      <t xml:space="preserve">Total Net Sales (less VAT) </t>
    </r>
    <r>
      <rPr>
        <sz val="10"/>
        <color theme="1"/>
        <rFont val="Arial"/>
        <family val="2"/>
      </rPr>
      <t>including discretionary spend</t>
    </r>
  </si>
  <si>
    <t>Contribution Margin %</t>
  </si>
  <si>
    <r>
      <t xml:space="preserve">Breakeven Sales - incl. VAT </t>
    </r>
    <r>
      <rPr>
        <sz val="10"/>
        <color rgb="FFC00000"/>
        <rFont val="Arial"/>
        <family val="2"/>
      </rPr>
      <t>(This will vary based on any changes in mix of business)</t>
    </r>
  </si>
  <si>
    <t>Net Profit/Loss</t>
  </si>
  <si>
    <t>Current VAT rates (June 2020)</t>
  </si>
  <si>
    <t>Standard rate</t>
  </si>
  <si>
    <t>Reduced rate</t>
  </si>
  <si>
    <t>Second reduced rate</t>
  </si>
  <si>
    <t>Please review the Revenue website for further details:</t>
  </si>
  <si>
    <t>https://www.revenue.ie/en/vat/index.aspx</t>
  </si>
  <si>
    <t>Accommodation Cost Calculations</t>
  </si>
  <si>
    <t xml:space="preserve">The following instructions are to help determine what your costs are. </t>
  </si>
  <si>
    <t>They are not linked to the Breakeven, but are to be used as an aide to calculate relevant costs.</t>
  </si>
  <si>
    <t>1. Complete the payroll cost element</t>
  </si>
  <si>
    <r>
      <rPr>
        <b/>
        <sz val="10"/>
        <color theme="1"/>
        <rFont val="Arial"/>
        <family val="2"/>
      </rPr>
      <t xml:space="preserve">2. Variable Costs: </t>
    </r>
    <r>
      <rPr>
        <sz val="10"/>
        <color theme="1"/>
        <rFont val="Arial"/>
        <family val="2"/>
      </rPr>
      <t>Determine variable costs included in the cost of the package and any Add-Ons</t>
    </r>
  </si>
  <si>
    <r>
      <rPr>
        <b/>
        <sz val="10"/>
        <color theme="1"/>
        <rFont val="Arial"/>
        <family val="2"/>
      </rPr>
      <t>3. Fixed Costs:</t>
    </r>
    <r>
      <rPr>
        <sz val="10"/>
        <color theme="1"/>
        <rFont val="Arial"/>
        <family val="2"/>
      </rPr>
      <t xml:space="preserve"> Calculate the total Fixed Costs for the business.</t>
    </r>
  </si>
  <si>
    <t>Payroll Costs</t>
  </si>
  <si>
    <r>
      <rPr>
        <b/>
        <sz val="10"/>
        <color theme="1"/>
        <rFont val="Arial"/>
        <family val="2"/>
      </rPr>
      <t>1. Payroll</t>
    </r>
    <r>
      <rPr>
        <sz val="10"/>
        <color theme="1"/>
        <rFont val="Arial"/>
        <family val="2"/>
      </rPr>
      <t>: You will need to split the payroll into the fixed and variable cost elements.</t>
    </r>
  </si>
  <si>
    <r>
      <rPr>
        <i/>
        <sz val="10"/>
        <color theme="1"/>
        <rFont val="Arial"/>
        <family val="2"/>
      </rPr>
      <t>Fixed:</t>
    </r>
    <r>
      <rPr>
        <sz val="10"/>
        <color theme="1"/>
        <rFont val="Arial"/>
        <family val="2"/>
      </rPr>
      <t xml:space="preserve"> There will be a basic fixed level of payroll costs which will need to be established.  This is the base amount of departmental payroll that will not fluctuate </t>
    </r>
  </si>
  <si>
    <t>based on volume. For example, before any confirmed guests for breakfast, you will have to have a chef/cook and waiter.  This is a euro amount.</t>
  </si>
  <si>
    <r>
      <t xml:space="preserve">Variable: </t>
    </r>
    <r>
      <rPr>
        <sz val="10"/>
        <color theme="1"/>
        <rFont val="Arial"/>
        <family val="2"/>
      </rPr>
      <t>The variable element will be the changes in staff based on the changes in volume, e.g. the more rooms you sell the more attendants you will need.</t>
    </r>
  </si>
  <si>
    <t>Fixed payroll element - by department</t>
  </si>
  <si>
    <t>Cost</t>
  </si>
  <si>
    <t>Rooms</t>
  </si>
  <si>
    <t>Food and Beverage</t>
  </si>
  <si>
    <t>Conference &amp; Banqueting</t>
  </si>
  <si>
    <t>Leisure Centre</t>
  </si>
  <si>
    <t>Spa</t>
  </si>
  <si>
    <t>Other department 1</t>
  </si>
  <si>
    <t>Other department 2</t>
  </si>
  <si>
    <t>Variable</t>
  </si>
  <si>
    <t>Variable payroll element - by department</t>
  </si>
  <si>
    <t>Unit Rate</t>
  </si>
  <si>
    <t>Payroll %</t>
  </si>
  <si>
    <t>Avg</t>
  </si>
  <si>
    <t>Variable Costs</t>
  </si>
  <si>
    <r>
      <rPr>
        <b/>
        <sz val="10"/>
        <color theme="1"/>
        <rFont val="Arial"/>
        <family val="2"/>
      </rPr>
      <t xml:space="preserve">2. Variable Costs: </t>
    </r>
    <r>
      <rPr>
        <sz val="10"/>
        <color theme="1"/>
        <rFont val="Arial"/>
        <family val="2"/>
      </rPr>
      <t xml:space="preserve">Determine variable costs included in the cost of the unit: </t>
    </r>
  </si>
  <si>
    <t>These will include the variable cost of the basic unit (e.g. is this a room, breakfast, meal package, etc.)</t>
  </si>
  <si>
    <t>Include the Add-On costs such as meals, beverages, activity, etc.</t>
  </si>
  <si>
    <t>Include any other variable costs not included in the above</t>
  </si>
  <si>
    <t>Online commission cost: If applicable, include an online commission cost percentage for website, third party, OTA, etc.</t>
  </si>
  <si>
    <t>Insert Variable Costs (VC) - per person/package</t>
  </si>
  <si>
    <t>Explanation</t>
  </si>
  <si>
    <t>VC per unit/package</t>
  </si>
  <si>
    <t>E.g. Guestroom cleaning, breakfast,</t>
  </si>
  <si>
    <t>VC per Inclusion/Add-On 1</t>
  </si>
  <si>
    <t>E.g. meals, wine, etc.</t>
  </si>
  <si>
    <t>VC per Inclusion/Add-On 2</t>
  </si>
  <si>
    <t>E.g. activities</t>
  </si>
  <si>
    <t>Other Variable Costs - discretionary spend</t>
  </si>
  <si>
    <t>Cost of on-site spend</t>
  </si>
  <si>
    <t>Total variable costs per package</t>
  </si>
  <si>
    <t>Insert Variable Costs (VC) - for one off items</t>
  </si>
  <si>
    <t>Cost of sales - One off 1</t>
  </si>
  <si>
    <t>E.g. golf rounds, spa treatments,</t>
  </si>
  <si>
    <t>Cost of sales - One off 2</t>
  </si>
  <si>
    <t>E.g. activities, entertainment, etc.</t>
  </si>
  <si>
    <t>Insert transaction cost per unit (if applicable)</t>
  </si>
  <si>
    <t>Total Sales (excluding on-site discretionary spend)</t>
  </si>
  <si>
    <t>Online transaction cost %</t>
  </si>
  <si>
    <t>i.e. GDS commission</t>
  </si>
  <si>
    <t>Commission cost per unit</t>
  </si>
  <si>
    <t>Fixed Costs</t>
  </si>
  <si>
    <r>
      <rPr>
        <b/>
        <sz val="10"/>
        <color theme="1"/>
        <rFont val="Arial"/>
        <family val="2"/>
      </rPr>
      <t>3. Fixed Costs:</t>
    </r>
    <r>
      <rPr>
        <sz val="10"/>
        <color theme="1"/>
        <rFont val="Arial"/>
        <family val="2"/>
      </rPr>
      <t xml:space="preserve"> Calculate the total Fixed Costs for the year. This may be your fixed costs for the previous year or the forecast for this year.</t>
    </r>
  </si>
  <si>
    <t>Insert the number of days your busines is open annually and a daily cost will be calculated.</t>
  </si>
  <si>
    <t>Then determine the level of fixed costs you want to allocate against a group, which may be the daily or lesser amount.</t>
  </si>
  <si>
    <t>This will be your fixed cost contribution.</t>
  </si>
  <si>
    <t>Fixed costs include overheads such as office staff, sales and marketing, utilities, repairs, admin, maintenance, etc.</t>
  </si>
  <si>
    <t>Annual Cost</t>
  </si>
  <si>
    <t>Per Day</t>
  </si>
  <si>
    <t>Utilities</t>
  </si>
  <si>
    <t>Electricity, gas, water, oil, rubbish, recycling, etc.</t>
  </si>
  <si>
    <t>Admin &amp; General</t>
  </si>
  <si>
    <t>Office staff salaries, stationary, bank charges, other</t>
  </si>
  <si>
    <t>Sales &amp; Marketing</t>
  </si>
  <si>
    <t>Sales/marketing salaries, advertising, other</t>
  </si>
  <si>
    <t>Repairs &amp; Maintenance</t>
  </si>
  <si>
    <t>Staff, grounds upkeep, maintenance, service contracts, etc.</t>
  </si>
  <si>
    <t>Insurance, Rates</t>
  </si>
  <si>
    <t>Insurance and rates (if applicable)</t>
  </si>
  <si>
    <t>Other</t>
  </si>
  <si>
    <t>Other fixed costs not included</t>
  </si>
  <si>
    <t>What is the total number of days your business is open annually?</t>
  </si>
  <si>
    <t>Fixed Cost Contribution</t>
  </si>
  <si>
    <t>% of daily fixed costs</t>
  </si>
  <si>
    <r>
      <t xml:space="preserve">Insert the package price per person - double occupancy </t>
    </r>
    <r>
      <rPr>
        <b/>
        <sz val="10"/>
        <color theme="1"/>
        <rFont val="Arial"/>
        <family val="2"/>
      </rPr>
      <t>(DBB)</t>
    </r>
  </si>
  <si>
    <r>
      <t xml:space="preserve">Insert the package price per person - single occupancy </t>
    </r>
    <r>
      <rPr>
        <b/>
        <sz val="10"/>
        <color theme="1"/>
        <rFont val="Arial"/>
        <family val="2"/>
      </rPr>
      <t>(DBB)</t>
    </r>
  </si>
  <si>
    <r>
      <t xml:space="preserve">Insert the package price per person - triple occupancy </t>
    </r>
    <r>
      <rPr>
        <b/>
        <sz val="10"/>
        <color theme="1"/>
        <rFont val="Arial"/>
        <family val="2"/>
      </rPr>
      <t>(DBB)</t>
    </r>
  </si>
  <si>
    <t>Total number of guests on packages (Calculated)</t>
  </si>
  <si>
    <t>Guided Tour</t>
  </si>
  <si>
    <t>Wine with dinner</t>
  </si>
  <si>
    <t>Guided tour walk</t>
  </si>
  <si>
    <t>Gin Cocktail Demo</t>
  </si>
  <si>
    <t>Room cleaning, breakfast, dinner</t>
  </si>
  <si>
    <t>Guestroom cleaning, breakfast,</t>
  </si>
  <si>
    <t>Cost of on-site beverage spend</t>
  </si>
  <si>
    <t>Gin cocktail demonstration</t>
  </si>
  <si>
    <r>
      <t xml:space="preserve">Insert the package price per person - double occupancy </t>
    </r>
    <r>
      <rPr>
        <b/>
        <sz val="10"/>
        <color theme="1"/>
        <rFont val="Arial"/>
        <family val="2"/>
      </rPr>
      <t>(B&amp;B)</t>
    </r>
  </si>
  <si>
    <r>
      <t xml:space="preserve">Insert the package price per person - single occupancy </t>
    </r>
    <r>
      <rPr>
        <b/>
        <sz val="10"/>
        <color theme="1"/>
        <rFont val="Arial"/>
        <family val="2"/>
      </rPr>
      <t>(B&amp;B)</t>
    </r>
  </si>
  <si>
    <r>
      <t xml:space="preserve">Insert the package price per person - triple occupancy </t>
    </r>
    <r>
      <rPr>
        <b/>
        <sz val="10"/>
        <color theme="1"/>
        <rFont val="Arial"/>
        <family val="2"/>
      </rPr>
      <t>(B&amp;B)</t>
    </r>
  </si>
  <si>
    <t>Dinner</t>
  </si>
  <si>
    <t>Wine with Dinner</t>
  </si>
  <si>
    <t>40 golf @ €50pp</t>
  </si>
  <si>
    <t>Evening Entertainment</t>
  </si>
  <si>
    <t>VC per unit</t>
  </si>
  <si>
    <t>Cost of dinner</t>
  </si>
  <si>
    <t>Rounds of golf</t>
  </si>
  <si>
    <t>PRICING AND BREAKEVEN CALCULATOR</t>
  </si>
  <si>
    <t>VIDEO EXAMPLE</t>
  </si>
  <si>
    <t>EXAMPLE</t>
  </si>
  <si>
    <t>Calculations</t>
  </si>
  <si>
    <r>
      <t xml:space="preserve">Double Occ Unit Price (exc ADD ON) - </t>
    </r>
    <r>
      <rPr>
        <b/>
        <sz val="10"/>
        <color theme="1"/>
        <rFont val="Arial"/>
        <family val="2"/>
      </rPr>
      <t>inc VAT</t>
    </r>
    <r>
      <rPr>
        <sz val="10"/>
        <color theme="1"/>
        <rFont val="Arial"/>
        <family val="2"/>
      </rPr>
      <t>, pp</t>
    </r>
  </si>
  <si>
    <r>
      <t xml:space="preserve">Single Occ Unit Price (exc ADD ON) - </t>
    </r>
    <r>
      <rPr>
        <b/>
        <sz val="10"/>
        <color theme="1"/>
        <rFont val="Arial"/>
        <family val="2"/>
      </rPr>
      <t>inc VAT</t>
    </r>
    <r>
      <rPr>
        <sz val="10"/>
        <color theme="1"/>
        <rFont val="Arial"/>
        <family val="2"/>
      </rPr>
      <t>, pp</t>
    </r>
  </si>
  <si>
    <r>
      <t xml:space="preserve">Triple Occ Unit Price (exc ADD ON) - </t>
    </r>
    <r>
      <rPr>
        <b/>
        <sz val="10"/>
        <color theme="1"/>
        <rFont val="Arial"/>
        <family val="2"/>
      </rPr>
      <t>inc VAT</t>
    </r>
    <r>
      <rPr>
        <sz val="10"/>
        <color theme="1"/>
        <rFont val="Arial"/>
        <family val="2"/>
      </rPr>
      <t>, pp</t>
    </r>
  </si>
  <si>
    <t>Total Customers</t>
  </si>
  <si>
    <t>Average package price per person including VAT</t>
  </si>
  <si>
    <r>
      <t xml:space="preserve">Double Occ Unit Price (exc ADD ON) - </t>
    </r>
    <r>
      <rPr>
        <b/>
        <sz val="10"/>
        <color theme="1"/>
        <rFont val="Arial"/>
        <family val="2"/>
      </rPr>
      <t>EX VAT</t>
    </r>
    <r>
      <rPr>
        <sz val="10"/>
        <color theme="1"/>
        <rFont val="Arial"/>
        <family val="2"/>
      </rPr>
      <t>, pp</t>
    </r>
  </si>
  <si>
    <r>
      <t xml:space="preserve">Single Occ Unit Price (exc ADD ON) - </t>
    </r>
    <r>
      <rPr>
        <b/>
        <sz val="10"/>
        <color theme="1"/>
        <rFont val="Arial"/>
        <family val="2"/>
      </rPr>
      <t>EX VAT</t>
    </r>
    <r>
      <rPr>
        <sz val="10"/>
        <color theme="1"/>
        <rFont val="Arial"/>
        <family val="2"/>
      </rPr>
      <t>, pp</t>
    </r>
  </si>
  <si>
    <r>
      <t xml:space="preserve">Triple Occ Unit Price (exc ADD ON) - </t>
    </r>
    <r>
      <rPr>
        <b/>
        <sz val="10"/>
        <color theme="1"/>
        <rFont val="Arial"/>
        <family val="2"/>
      </rPr>
      <t>EX VAT</t>
    </r>
    <r>
      <rPr>
        <sz val="10"/>
        <color theme="1"/>
        <rFont val="Arial"/>
        <family val="2"/>
      </rPr>
      <t>, pp</t>
    </r>
  </si>
  <si>
    <t>Average package price per person - excluding VAT</t>
  </si>
  <si>
    <r>
      <t xml:space="preserve">Unit ADD ON 1 - </t>
    </r>
    <r>
      <rPr>
        <b/>
        <sz val="10"/>
        <color theme="1"/>
        <rFont val="Arial"/>
        <family val="2"/>
      </rPr>
      <t>inc VAT</t>
    </r>
    <r>
      <rPr>
        <sz val="10"/>
        <color theme="1"/>
        <rFont val="Arial"/>
        <family val="2"/>
      </rPr>
      <t>, pp</t>
    </r>
  </si>
  <si>
    <r>
      <t xml:space="preserve">Unit ADD ON 1 - </t>
    </r>
    <r>
      <rPr>
        <b/>
        <sz val="10"/>
        <color theme="1"/>
        <rFont val="Arial"/>
        <family val="2"/>
      </rPr>
      <t>EX VAT</t>
    </r>
    <r>
      <rPr>
        <sz val="10"/>
        <color theme="1"/>
        <rFont val="Arial"/>
        <family val="2"/>
      </rPr>
      <t>, pp</t>
    </r>
  </si>
  <si>
    <r>
      <t xml:space="preserve">Unit ADD ON 2 - </t>
    </r>
    <r>
      <rPr>
        <b/>
        <sz val="10"/>
        <color theme="1"/>
        <rFont val="Arial"/>
        <family val="2"/>
      </rPr>
      <t>inc VAT</t>
    </r>
    <r>
      <rPr>
        <sz val="10"/>
        <color theme="1"/>
        <rFont val="Arial"/>
        <family val="2"/>
      </rPr>
      <t>, pp</t>
    </r>
  </si>
  <si>
    <r>
      <t xml:space="preserve">Unit ADD ON 2 - </t>
    </r>
    <r>
      <rPr>
        <b/>
        <sz val="10"/>
        <color theme="1"/>
        <rFont val="Arial"/>
        <family val="2"/>
      </rPr>
      <t>EX VAT</t>
    </r>
    <r>
      <rPr>
        <sz val="10"/>
        <color theme="1"/>
        <rFont val="Arial"/>
        <family val="2"/>
      </rPr>
      <t>, pp</t>
    </r>
  </si>
  <si>
    <t>One off inc VAT</t>
  </si>
  <si>
    <t>One off Inclusion 1 - inc VAT</t>
  </si>
  <si>
    <t>One Off ex VAT</t>
  </si>
  <si>
    <t>One Off Inclusion 1 - ex VAT</t>
  </si>
  <si>
    <t>One off Inclusion 2 - inc VAT</t>
  </si>
  <si>
    <t>One Off Inclusion 2 - ex VAT</t>
  </si>
  <si>
    <r>
      <t xml:space="preserve">Total Sales </t>
    </r>
    <r>
      <rPr>
        <b/>
        <sz val="10"/>
        <color theme="1"/>
        <rFont val="Arial"/>
        <family val="2"/>
      </rPr>
      <t>(inc VAT</t>
    </r>
    <r>
      <rPr>
        <sz val="10"/>
        <color theme="1"/>
        <rFont val="Arial"/>
        <family val="2"/>
      </rPr>
      <t>) excluding discretionary spend</t>
    </r>
  </si>
  <si>
    <r>
      <t>Total Net Sales</t>
    </r>
    <r>
      <rPr>
        <b/>
        <sz val="10"/>
        <color theme="1"/>
        <rFont val="Arial"/>
        <family val="2"/>
      </rPr>
      <t xml:space="preserve"> (less VAT)</t>
    </r>
    <r>
      <rPr>
        <sz val="10"/>
        <color theme="1"/>
        <rFont val="Arial"/>
        <family val="2"/>
      </rPr>
      <t xml:space="preserve"> excluding discretionary spend</t>
    </r>
  </si>
  <si>
    <r>
      <t xml:space="preserve">Total Net Sales </t>
    </r>
    <r>
      <rPr>
        <b/>
        <sz val="10"/>
        <color theme="1"/>
        <rFont val="Arial"/>
        <family val="2"/>
      </rPr>
      <t>(less VAT)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including</t>
    </r>
    <r>
      <rPr>
        <sz val="10"/>
        <color theme="1"/>
        <rFont val="Arial"/>
        <family val="2"/>
      </rPr>
      <t xml:space="preserve"> discretionary spend</t>
    </r>
  </si>
  <si>
    <r>
      <t xml:space="preserve">Total Sales </t>
    </r>
    <r>
      <rPr>
        <b/>
        <sz val="10"/>
        <color theme="1"/>
        <rFont val="Arial"/>
        <family val="2"/>
      </rPr>
      <t>(inc VAT</t>
    </r>
    <r>
      <rPr>
        <sz val="10"/>
        <color theme="1"/>
        <rFont val="Arial"/>
        <family val="2"/>
      </rPr>
      <t>) excluding discretionary spend - Average PP</t>
    </r>
  </si>
  <si>
    <r>
      <t>Total Net Sales</t>
    </r>
    <r>
      <rPr>
        <b/>
        <sz val="10"/>
        <color theme="1"/>
        <rFont val="Arial"/>
        <family val="2"/>
      </rPr>
      <t xml:space="preserve"> (less VAT)</t>
    </r>
    <r>
      <rPr>
        <sz val="10"/>
        <color theme="1"/>
        <rFont val="Arial"/>
        <family val="2"/>
      </rPr>
      <t xml:space="preserve"> excluding discretionary spend - Average PP</t>
    </r>
  </si>
  <si>
    <r>
      <t xml:space="preserve">Total Net Sales </t>
    </r>
    <r>
      <rPr>
        <b/>
        <sz val="10"/>
        <color theme="1"/>
        <rFont val="Arial"/>
        <family val="2"/>
      </rPr>
      <t>(less VAT)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including</t>
    </r>
    <r>
      <rPr>
        <sz val="10"/>
        <color theme="1"/>
        <rFont val="Arial"/>
        <family val="2"/>
      </rPr>
      <t xml:space="preserve"> discretionary spend - Average PP</t>
    </r>
  </si>
  <si>
    <t>Number of Customers</t>
  </si>
  <si>
    <t>pp</t>
  </si>
  <si>
    <t>Package Variable Costs Total</t>
  </si>
  <si>
    <t>Package Variable Costs per person</t>
  </si>
  <si>
    <t>Add ON 1 Cost of sales Total</t>
  </si>
  <si>
    <t>Add ON 1 Cost of sales per person</t>
  </si>
  <si>
    <t>Add ON 2 Cost of sales Total</t>
  </si>
  <si>
    <t>Add ON 2 Cost of sales per person</t>
  </si>
  <si>
    <t>Add One Off 1 CoS</t>
  </si>
  <si>
    <t>Add One Off 2 CoS</t>
  </si>
  <si>
    <t>Other VC/discretionary spend Total</t>
  </si>
  <si>
    <t>Other VC/discretionary spend per person</t>
  </si>
  <si>
    <t>Commission Cost Total</t>
  </si>
  <si>
    <t>Payroll Cost % Total</t>
  </si>
  <si>
    <t>Commission Cost PP</t>
  </si>
  <si>
    <t>Payroll Cost % PP</t>
  </si>
  <si>
    <t>Total per customer</t>
  </si>
  <si>
    <t>Breakeven Number of Customers</t>
  </si>
  <si>
    <t>Total VC</t>
  </si>
  <si>
    <t>Total FC</t>
  </si>
  <si>
    <t>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</si>
</sst>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"/>
    <numFmt numFmtId="165" formatCode="_(* #,##0.00_);_(* \(#,##0.00\);_(* &quot;-&quot;??_);_(@_)"/>
    <numFmt numFmtId="166" formatCode="0.0%"/>
    <numFmt numFmtId="167" formatCode="&quot;€&quot;#,##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rgb="FF1118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3" fillId="0" borderId="2" applyFont="0" applyAlignment="0">
      <alignment horizontal="left" vertical="center" wrapText="1" readingOrder="1"/>
    </xf>
    <xf numFmtId="0" fontId="9" fillId="0" borderId="0" applyNumberFormat="0" applyFill="0" applyBorder="0" applyAlignment="0" applyProtection="0"/>
  </cellStyleXfs>
  <cellXfs count="12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7" fontId="6" fillId="2" borderId="0" xfId="1" applyNumberFormat="1" applyFont="1" applyFill="1" applyBorder="1" applyAlignment="1">
      <alignment vertical="center"/>
    </xf>
    <xf numFmtId="17" fontId="5" fillId="0" borderId="0" xfId="0" applyNumberFormat="1" applyFont="1" applyAlignment="1">
      <alignment vertical="center"/>
    </xf>
    <xf numFmtId="167" fontId="6" fillId="2" borderId="1" xfId="1" applyNumberFormat="1" applyFont="1" applyFill="1" applyBorder="1" applyAlignment="1">
      <alignment vertical="center"/>
    </xf>
    <xf numFmtId="167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7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166" fontId="6" fillId="0" borderId="7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8" xfId="5" applyBorder="1"/>
    <xf numFmtId="9" fontId="6" fillId="2" borderId="1" xfId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64" fontId="5" fillId="0" borderId="9" xfId="0" applyNumberFormat="1" applyFont="1" applyFill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6" fontId="5" fillId="0" borderId="7" xfId="1" applyNumberFormat="1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9" fontId="5" fillId="0" borderId="0" xfId="1" applyFont="1" applyFill="1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167" fontId="6" fillId="2" borderId="7" xfId="1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9" xfId="5" applyBorder="1"/>
    <xf numFmtId="0" fontId="15" fillId="0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9" fontId="6" fillId="2" borderId="0" xfId="1" applyFont="1" applyFill="1" applyBorder="1" applyAlignment="1">
      <alignment vertical="center"/>
    </xf>
    <xf numFmtId="167" fontId="5" fillId="0" borderId="9" xfId="0" applyNumberFormat="1" applyFont="1" applyFill="1" applyBorder="1" applyAlignment="1">
      <alignment vertical="center"/>
    </xf>
    <xf numFmtId="167" fontId="5" fillId="0" borderId="7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7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</cellXfs>
  <cellStyles count="6">
    <cellStyle name="Comma 44" xfId="3" xr:uid="{00000000-0005-0000-0000-000000000000}"/>
    <cellStyle name="Hyperlink" xfId="5" builtinId="8"/>
    <cellStyle name="Normal" xfId="0" builtinId="0"/>
    <cellStyle name="Normal 2" xfId="2" xr:uid="{00000000-0005-0000-0000-000003000000}"/>
    <cellStyle name="Per cent" xfId="1" builtinId="5"/>
    <cellStyle name="Style 1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132554</xdr:colOff>
      <xdr:row>0</xdr:row>
      <xdr:rowOff>243417</xdr:rowOff>
    </xdr:from>
    <xdr:to>
      <xdr:col>2</xdr:col>
      <xdr:colOff>545040</xdr:colOff>
      <xdr:row>0</xdr:row>
      <xdr:rowOff>1047750</xdr:rowOff>
    </xdr:to>
    <xdr:pic>
      <xdr:nvPicPr>
        <xdr:cNvPr id="2" name="Picture 1" descr="Fáilte Ireland logo - Restaurants Association of ..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79" y="243417"/>
          <a:ext cx="4298686" cy="804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66186</xdr:colOff>
      <xdr:row>0</xdr:row>
      <xdr:rowOff>352425</xdr:rowOff>
    </xdr:from>
    <xdr:to>
      <xdr:col>1</xdr:col>
      <xdr:colOff>3852070</xdr:colOff>
      <xdr:row>0</xdr:row>
      <xdr:rowOff>1005416</xdr:rowOff>
    </xdr:to>
    <xdr:pic>
      <xdr:nvPicPr>
        <xdr:cNvPr id="3" name="Picture 2" descr="Fáilte Ireland logo - Restaurants Association of ..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911" y="352425"/>
          <a:ext cx="3785884" cy="652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132554</xdr:colOff>
      <xdr:row>0</xdr:row>
      <xdr:rowOff>243417</xdr:rowOff>
    </xdr:from>
    <xdr:to>
      <xdr:col>2</xdr:col>
      <xdr:colOff>545040</xdr:colOff>
      <xdr:row>0</xdr:row>
      <xdr:rowOff>971550</xdr:rowOff>
    </xdr:to>
    <xdr:pic>
      <xdr:nvPicPr>
        <xdr:cNvPr id="3" name="Picture 2" descr="Fáilte Ireland logo - Restaurants Association of ..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79" y="243417"/>
          <a:ext cx="4298686" cy="728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66186</xdr:colOff>
      <xdr:row>0</xdr:row>
      <xdr:rowOff>211668</xdr:rowOff>
    </xdr:from>
    <xdr:to>
      <xdr:col>7</xdr:col>
      <xdr:colOff>3852070</xdr:colOff>
      <xdr:row>0</xdr:row>
      <xdr:rowOff>866776</xdr:rowOff>
    </xdr:to>
    <xdr:pic>
      <xdr:nvPicPr>
        <xdr:cNvPr id="4" name="Picture 3" descr="Fáilte Ireland logo - Restaurants Association of ..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311" y="211668"/>
          <a:ext cx="3785884" cy="655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132554</xdr:colOff>
      <xdr:row>0</xdr:row>
      <xdr:rowOff>243417</xdr:rowOff>
    </xdr:from>
    <xdr:to>
      <xdr:col>2</xdr:col>
      <xdr:colOff>545040</xdr:colOff>
      <xdr:row>0</xdr:row>
      <xdr:rowOff>952500</xdr:rowOff>
    </xdr:to>
    <xdr:pic>
      <xdr:nvPicPr>
        <xdr:cNvPr id="2" name="Picture 1" descr="Fáilte Ireland logo - Restaurants Association of ..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79" y="243417"/>
          <a:ext cx="4298686" cy="70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66186</xdr:colOff>
      <xdr:row>0</xdr:row>
      <xdr:rowOff>211668</xdr:rowOff>
    </xdr:from>
    <xdr:to>
      <xdr:col>7</xdr:col>
      <xdr:colOff>3852070</xdr:colOff>
      <xdr:row>0</xdr:row>
      <xdr:rowOff>942976</xdr:rowOff>
    </xdr:to>
    <xdr:pic>
      <xdr:nvPicPr>
        <xdr:cNvPr id="3" name="Picture 2" descr="Fáilte Ireland logo - Restaurants Association of ..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261" y="211668"/>
          <a:ext cx="3785884" cy="731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vat/index.asp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evenue.ie/en/vat/index.aspx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revenue.ie/en/vat/index.aspx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Q125"/>
  <sheetViews>
    <sheetView topLeftCell="A4" workbookViewId="0">
      <selection activeCell="D19" sqref="D12:D19"/>
    </sheetView>
  </sheetViews>
  <sheetFormatPr defaultRowHeight="12.75"/>
  <cols>
    <col min="1" max="1" width="7" style="1" customWidth="1"/>
    <col min="2" max="2" width="58.28515625" style="1" customWidth="1"/>
    <col min="3" max="3" width="22" style="1" customWidth="1"/>
    <col min="4" max="4" width="17.28515625" style="1" customWidth="1"/>
    <col min="5" max="5" width="9.28515625" style="1" customWidth="1"/>
    <col min="6" max="6" width="17.28515625" style="1" customWidth="1"/>
    <col min="7" max="7" width="9.28515625" style="9" customWidth="1"/>
    <col min="8" max="8" width="10.7109375" style="1" bestFit="1" customWidth="1"/>
    <col min="9" max="16384" width="9.140625" style="1"/>
  </cols>
  <sheetData>
    <row r="1" spans="2:17" ht="97.5" customHeight="1">
      <c r="D1" s="117" t="s">
        <v>0</v>
      </c>
      <c r="E1" s="117"/>
      <c r="F1" s="117"/>
      <c r="G1" s="46"/>
    </row>
    <row r="2" spans="2:17">
      <c r="B2" s="118" t="s">
        <v>1</v>
      </c>
      <c r="C2" s="118"/>
      <c r="D2" s="118"/>
      <c r="E2" s="118"/>
      <c r="F2" s="118"/>
      <c r="G2" s="35"/>
    </row>
    <row r="3" spans="2:17">
      <c r="B3" s="116" t="s">
        <v>2</v>
      </c>
      <c r="C3" s="116"/>
      <c r="D3" s="116"/>
      <c r="E3" s="116"/>
      <c r="F3" s="116"/>
    </row>
    <row r="4" spans="2:17">
      <c r="B4" s="115" t="s">
        <v>3</v>
      </c>
      <c r="C4" s="115"/>
      <c r="D4" s="115"/>
      <c r="E4" s="115"/>
      <c r="F4" s="115"/>
    </row>
    <row r="5" spans="2:17">
      <c r="B5" s="116" t="s">
        <v>4</v>
      </c>
      <c r="C5" s="116"/>
      <c r="D5" s="116"/>
      <c r="E5" s="116"/>
      <c r="F5" s="116"/>
    </row>
    <row r="6" spans="2:17">
      <c r="B6" s="114" t="s">
        <v>5</v>
      </c>
      <c r="C6" s="114"/>
      <c r="D6" s="114"/>
      <c r="E6" s="114"/>
      <c r="F6" s="11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>
      <c r="B7" s="114" t="s">
        <v>6</v>
      </c>
      <c r="C7" s="114"/>
      <c r="D7" s="114"/>
      <c r="E7" s="114"/>
      <c r="F7" s="114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13.5" thickBot="1"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7">
      <c r="B9" s="17"/>
      <c r="C9" s="18"/>
      <c r="D9" s="43" t="s">
        <v>7</v>
      </c>
      <c r="E9" s="18"/>
      <c r="F9" s="44" t="s">
        <v>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>
      <c r="B10" s="19"/>
      <c r="C10" s="7"/>
      <c r="D10" s="89" t="s">
        <v>8</v>
      </c>
      <c r="E10" s="45"/>
      <c r="F10" s="90" t="s">
        <v>9</v>
      </c>
      <c r="G10" s="51"/>
      <c r="H10" s="51"/>
      <c r="I10" s="22"/>
      <c r="J10" s="22"/>
      <c r="K10" s="22"/>
      <c r="L10" s="22"/>
      <c r="M10" s="22"/>
      <c r="N10" s="22"/>
      <c r="O10" s="22"/>
      <c r="P10" s="22"/>
      <c r="Q10" s="22"/>
    </row>
    <row r="11" spans="2:17">
      <c r="B11" s="83" t="s">
        <v>10</v>
      </c>
      <c r="C11" s="97"/>
      <c r="D11" s="21"/>
      <c r="E11" s="22"/>
      <c r="F11" s="2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17">
      <c r="B12" s="19" t="s">
        <v>11</v>
      </c>
      <c r="C12" s="7"/>
      <c r="D12" s="4"/>
      <c r="E12" s="7"/>
      <c r="F12" s="24"/>
      <c r="G12" s="39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2:17">
      <c r="B13" s="19" t="s">
        <v>12</v>
      </c>
      <c r="C13" s="7"/>
      <c r="D13" s="8"/>
      <c r="E13" s="7"/>
      <c r="F13" s="2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17">
      <c r="B14" s="19"/>
      <c r="C14" s="7"/>
      <c r="D14" s="21"/>
      <c r="E14" s="22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2:17">
      <c r="B15" s="19" t="s">
        <v>13</v>
      </c>
      <c r="C15" s="7"/>
      <c r="D15" s="4"/>
      <c r="E15" s="7"/>
      <c r="F15" s="24"/>
      <c r="G15" s="39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>
      <c r="B16" s="19" t="s">
        <v>12</v>
      </c>
      <c r="C16" s="7"/>
      <c r="D16" s="8"/>
      <c r="E16" s="7"/>
      <c r="F16" s="2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>
      <c r="B17" s="19"/>
      <c r="C17" s="7"/>
      <c r="D17" s="21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>
      <c r="B18" s="19" t="s">
        <v>14</v>
      </c>
      <c r="C18" s="7"/>
      <c r="D18" s="4"/>
      <c r="E18" s="7"/>
      <c r="F18" s="24"/>
      <c r="G18" s="39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>
      <c r="B19" s="19" t="s">
        <v>12</v>
      </c>
      <c r="C19" s="7"/>
      <c r="D19" s="8"/>
      <c r="E19" s="7"/>
      <c r="F19" s="20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>
      <c r="B20" s="19"/>
      <c r="C20" s="7"/>
      <c r="D20" s="21"/>
      <c r="E20" s="22"/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>
      <c r="B21" s="19" t="s">
        <v>15</v>
      </c>
      <c r="C21" s="7"/>
      <c r="D21" s="22">
        <f>D13+D16+D19</f>
        <v>0</v>
      </c>
      <c r="E21" s="22"/>
      <c r="F21" s="65">
        <f>F13+F16+F19</f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>
      <c r="B22" s="19" t="s">
        <v>16</v>
      </c>
      <c r="C22" s="7"/>
      <c r="D22" s="25"/>
      <c r="E22" s="7"/>
      <c r="F22" s="26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>
      <c r="B23" s="19"/>
      <c r="C23" s="7"/>
      <c r="D23" s="7"/>
      <c r="E23" s="7"/>
      <c r="F23" s="29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>
      <c r="B24" s="102" t="s">
        <v>17</v>
      </c>
      <c r="C24" s="103" t="s">
        <v>18</v>
      </c>
      <c r="D24" s="4"/>
      <c r="E24" s="7"/>
      <c r="F24" s="24"/>
      <c r="G24" s="39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>
      <c r="B25" s="36" t="s">
        <v>19</v>
      </c>
      <c r="C25" s="7"/>
      <c r="D25" s="106"/>
      <c r="E25" s="7"/>
      <c r="F25" s="26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>
      <c r="B26" s="36"/>
      <c r="C26" s="7"/>
      <c r="D26" s="27"/>
      <c r="E26" s="22"/>
      <c r="F26" s="28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>
      <c r="B27" s="102" t="s">
        <v>20</v>
      </c>
      <c r="C27" s="103" t="s">
        <v>18</v>
      </c>
      <c r="D27" s="4"/>
      <c r="E27" s="7"/>
      <c r="F27" s="24"/>
      <c r="G27" s="39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>
      <c r="B28" s="36" t="s">
        <v>19</v>
      </c>
      <c r="C28" s="7"/>
      <c r="D28" s="25"/>
      <c r="E28" s="7"/>
      <c r="F28" s="2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>
      <c r="B29" s="36"/>
      <c r="C29" s="7"/>
      <c r="D29" s="27"/>
      <c r="E29" s="22"/>
      <c r="F29" s="2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>
      <c r="B30" s="36" t="s">
        <v>21</v>
      </c>
      <c r="C30" s="103" t="s">
        <v>22</v>
      </c>
      <c r="D30" s="4"/>
      <c r="E30" s="22"/>
      <c r="F30" s="2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>
      <c r="A31" s="9"/>
      <c r="B31" s="36" t="s">
        <v>19</v>
      </c>
      <c r="C31" s="7"/>
      <c r="D31" s="25"/>
      <c r="E31" s="22"/>
      <c r="F31" s="26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>
      <c r="A32" s="9"/>
      <c r="B32" s="36"/>
      <c r="C32" s="7"/>
      <c r="D32" s="27"/>
      <c r="E32" s="22"/>
      <c r="F32" s="28"/>
      <c r="G32" s="39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>
      <c r="A33" s="9"/>
      <c r="B33" s="36" t="s">
        <v>23</v>
      </c>
      <c r="C33" s="103" t="s">
        <v>24</v>
      </c>
      <c r="D33" s="4"/>
      <c r="E33" s="22"/>
      <c r="F33" s="2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>
      <c r="A34" s="9"/>
      <c r="B34" s="36" t="s">
        <v>19</v>
      </c>
      <c r="C34" s="7"/>
      <c r="D34" s="25"/>
      <c r="E34" s="22"/>
      <c r="F34" s="26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>
      <c r="A35" s="9"/>
      <c r="B35" s="19"/>
      <c r="C35" s="7"/>
      <c r="D35" s="7"/>
      <c r="E35" s="7"/>
      <c r="F35" s="2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>
      <c r="B36" s="36" t="s">
        <v>25</v>
      </c>
      <c r="C36" s="22"/>
      <c r="D36" s="4"/>
      <c r="E36" s="7"/>
      <c r="F36" s="2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>
      <c r="B37" s="19"/>
      <c r="C37" s="7"/>
      <c r="D37" s="7"/>
      <c r="E37" s="7"/>
      <c r="F37" s="29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>
      <c r="B38" s="83" t="s">
        <v>26</v>
      </c>
      <c r="C38" s="97"/>
      <c r="D38" s="27"/>
      <c r="E38" s="22"/>
      <c r="F38" s="28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>
      <c r="B39" s="19" t="s">
        <v>27</v>
      </c>
      <c r="C39" s="7"/>
      <c r="D39" s="4"/>
      <c r="E39" s="22"/>
      <c r="F39" s="24"/>
      <c r="G39" s="52"/>
      <c r="H39" s="52"/>
      <c r="I39" s="39"/>
      <c r="J39" s="22"/>
      <c r="K39" s="22"/>
      <c r="L39" s="22"/>
      <c r="M39" s="22"/>
      <c r="N39" s="22"/>
      <c r="O39" s="22"/>
      <c r="P39" s="22"/>
      <c r="Q39" s="22"/>
    </row>
    <row r="40" spans="1:17">
      <c r="B40" s="102" t="s">
        <v>28</v>
      </c>
      <c r="C40" s="105" t="str">
        <f>C24</f>
        <v>Name of add on</v>
      </c>
      <c r="D40" s="4"/>
      <c r="E40" s="7"/>
      <c r="F40" s="24"/>
      <c r="G40" s="39"/>
      <c r="H40" s="52"/>
      <c r="I40" s="39"/>
      <c r="J40" s="22"/>
      <c r="K40" s="22"/>
      <c r="L40" s="22"/>
      <c r="M40" s="22"/>
      <c r="N40" s="22"/>
      <c r="O40" s="22"/>
      <c r="P40" s="22"/>
      <c r="Q40" s="22"/>
    </row>
    <row r="41" spans="1:17">
      <c r="B41" s="19" t="s">
        <v>29</v>
      </c>
      <c r="C41" s="105" t="str">
        <f>C27</f>
        <v>Name of add on</v>
      </c>
      <c r="D41" s="4"/>
      <c r="E41" s="7"/>
      <c r="F41" s="24"/>
      <c r="G41" s="39"/>
      <c r="H41" s="52"/>
      <c r="I41" s="39"/>
      <c r="J41" s="22"/>
      <c r="K41" s="22"/>
      <c r="L41" s="22"/>
      <c r="M41" s="22"/>
      <c r="N41" s="22"/>
      <c r="O41" s="22"/>
      <c r="P41" s="22"/>
      <c r="Q41" s="22"/>
    </row>
    <row r="42" spans="1:17">
      <c r="A42" s="9"/>
      <c r="B42" s="19" t="s">
        <v>30</v>
      </c>
      <c r="C42" s="105" t="str">
        <f>C30</f>
        <v>Name of One-Off incl</v>
      </c>
      <c r="D42" s="4"/>
      <c r="E42" s="7"/>
      <c r="F42" s="24"/>
      <c r="G42" s="52"/>
      <c r="H42" s="52"/>
      <c r="I42" s="39"/>
      <c r="J42" s="22"/>
      <c r="K42" s="22"/>
      <c r="L42" s="22"/>
      <c r="M42" s="22"/>
      <c r="N42" s="22"/>
      <c r="O42" s="22"/>
      <c r="P42" s="22"/>
      <c r="Q42" s="22"/>
    </row>
    <row r="43" spans="1:17">
      <c r="B43" s="19" t="s">
        <v>31</v>
      </c>
      <c r="C43" s="105" t="str">
        <f>C33</f>
        <v>Name of One-off Incl</v>
      </c>
      <c r="D43" s="4"/>
      <c r="E43" s="7"/>
      <c r="F43" s="24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>
      <c r="B44" s="19" t="s">
        <v>32</v>
      </c>
      <c r="C44" s="7"/>
      <c r="D44" s="4"/>
      <c r="E44" s="7"/>
      <c r="F44" s="24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>
      <c r="B45" s="19" t="s">
        <v>33</v>
      </c>
      <c r="C45" s="7"/>
      <c r="D45" s="25"/>
      <c r="E45" s="63"/>
      <c r="F45" s="2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>
      <c r="B46" s="19" t="s">
        <v>34</v>
      </c>
      <c r="C46" s="7"/>
      <c r="D46" s="25"/>
      <c r="E46" s="63"/>
      <c r="F46" s="26"/>
      <c r="G46" s="70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>
      <c r="B47" s="19" t="s">
        <v>35</v>
      </c>
      <c r="C47" s="7"/>
      <c r="D47" s="4"/>
      <c r="E47" s="7"/>
      <c r="F47" s="24"/>
      <c r="G47" s="70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>
      <c r="B48" s="19" t="s">
        <v>36</v>
      </c>
      <c r="C48" s="7"/>
      <c r="D48" s="4"/>
      <c r="E48" s="7"/>
      <c r="F48" s="24"/>
      <c r="G48" s="69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>
      <c r="B49" s="31"/>
      <c r="C49" s="98"/>
      <c r="D49" s="7"/>
      <c r="E49" s="7"/>
      <c r="F49" s="29"/>
      <c r="G49" s="68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>
      <c r="B50" s="53" t="s">
        <v>37</v>
      </c>
      <c r="C50" s="51"/>
      <c r="D50" s="52" t="e">
        <f>'Background Calcs - Hidden'!C32/D21</f>
        <v>#DIV/0!</v>
      </c>
      <c r="E50" s="51"/>
      <c r="F50" s="54" t="e">
        <f>'Background Calcs - Hidden'!E32/F21</f>
        <v>#DIV/0!</v>
      </c>
      <c r="G50" s="68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>
      <c r="B51" s="36" t="s">
        <v>38</v>
      </c>
      <c r="C51" s="22"/>
      <c r="D51" s="10" t="e">
        <f>'Background Calcs - Hidden'!C34/D21</f>
        <v>#DIV/0!</v>
      </c>
      <c r="E51" s="22"/>
      <c r="F51" s="32" t="e">
        <f>'Background Calcs - Hidden'!E34/F21</f>
        <v>#DIV/0!</v>
      </c>
      <c r="G51" s="69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>
      <c r="B52" s="36"/>
      <c r="C52" s="22"/>
      <c r="D52" s="39"/>
      <c r="E52" s="22"/>
      <c r="F52" s="55"/>
      <c r="G52" s="68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>
      <c r="B53" s="19"/>
      <c r="C53" s="7"/>
      <c r="D53" s="22"/>
      <c r="E53" s="7"/>
      <c r="F53" s="65"/>
      <c r="G53" s="68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2:17">
      <c r="B54" s="53" t="s">
        <v>39</v>
      </c>
      <c r="C54" s="51"/>
      <c r="D54" s="52">
        <f>'Background Calcs - Hidden'!C33</f>
        <v>0</v>
      </c>
      <c r="E54" s="22"/>
      <c r="F54" s="54">
        <f>'Background Calcs - Hidden'!E33</f>
        <v>0</v>
      </c>
      <c r="G54" s="68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>
      <c r="B55" s="53" t="s">
        <v>40</v>
      </c>
      <c r="C55" s="51"/>
      <c r="D55" s="52">
        <f>'Background Calcs - Hidden'!C34</f>
        <v>0</v>
      </c>
      <c r="E55" s="22"/>
      <c r="F55" s="54">
        <f>'Background Calcs - Hidden'!E34</f>
        <v>0</v>
      </c>
      <c r="G55" s="71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2:17">
      <c r="B56" s="36"/>
      <c r="C56" s="22"/>
      <c r="D56" s="39"/>
      <c r="E56" s="22"/>
      <c r="F56" s="55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>
      <c r="B57" s="31" t="s">
        <v>41</v>
      </c>
      <c r="C57" s="98"/>
      <c r="D57" s="63" t="e">
        <f>(D51-'Background Calcs - Hidden'!D59)/D51</f>
        <v>#DIV/0!</v>
      </c>
      <c r="E57" s="63"/>
      <c r="F57" s="64" t="e">
        <f>(F51-'Background Calcs - Hidden'!F59)/F51</f>
        <v>#DIV/0!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2:17">
      <c r="B58" s="31" t="s">
        <v>42</v>
      </c>
      <c r="C58" s="98"/>
      <c r="D58" s="39" t="e">
        <f>'Background Calcs - Hidden'!C62*D50</f>
        <v>#DIV/0!</v>
      </c>
      <c r="E58" s="22"/>
      <c r="F58" s="55" t="e">
        <f>'Background Calcs - Hidden'!E62*F50</f>
        <v>#DIV/0!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 ht="13.5" thickBot="1">
      <c r="B59" s="33" t="s">
        <v>43</v>
      </c>
      <c r="C59" s="99"/>
      <c r="D59" s="62">
        <f>D55-D47-D48-(D40*D21)-(D45*'Background Calcs - Hidden'!C32)-(D46*D55)-(D39*D21)-(D41*D21)-(D44*D21)-D42-D43</f>
        <v>0</v>
      </c>
      <c r="E59" s="57"/>
      <c r="F59" s="58">
        <f>F55-F47-F48-(F40*F21)-(F45*'Background Calcs - Hidden'!E32)-(F46*F55)-(F39*F21)-(F41*F21)-(F44*F21)-F42-F43</f>
        <v>0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 ht="13.5" thickBot="1"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>
      <c r="B61" s="40" t="s">
        <v>44</v>
      </c>
      <c r="C61" s="100"/>
      <c r="D61" s="18"/>
      <c r="E61" s="18"/>
      <c r="F61" s="38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>
      <c r="B62" s="19" t="s">
        <v>45</v>
      </c>
      <c r="C62" s="7"/>
      <c r="D62" s="87">
        <v>0.23</v>
      </c>
      <c r="E62" s="7"/>
      <c r="F62" s="29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>
      <c r="B63" s="19" t="s">
        <v>46</v>
      </c>
      <c r="C63" s="7"/>
      <c r="D63" s="86">
        <v>0.13500000000000001</v>
      </c>
      <c r="E63" s="7"/>
      <c r="F63" s="29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>
      <c r="B64" s="19" t="s">
        <v>47</v>
      </c>
      <c r="C64" s="7"/>
      <c r="D64" s="87">
        <v>0.09</v>
      </c>
      <c r="E64" s="7"/>
      <c r="F64" s="29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>
      <c r="B65" s="19"/>
      <c r="C65" s="7"/>
      <c r="D65" s="7"/>
      <c r="E65" s="7"/>
      <c r="F65" s="29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>
      <c r="B66" s="19" t="s">
        <v>48</v>
      </c>
      <c r="C66" s="7"/>
      <c r="D66" s="7"/>
      <c r="E66" s="7"/>
      <c r="F66" s="29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5.75" thickBot="1">
      <c r="B67" s="41" t="s">
        <v>49</v>
      </c>
      <c r="C67" s="101"/>
      <c r="D67" s="34"/>
      <c r="E67" s="34"/>
      <c r="F67" s="37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8:17"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124" spans="5:7">
      <c r="E124" s="22"/>
      <c r="F124" s="10"/>
      <c r="G124" s="22"/>
    </row>
    <row r="125" spans="5:7">
      <c r="E125" s="22"/>
      <c r="F125" s="10"/>
      <c r="G125" s="22"/>
    </row>
  </sheetData>
  <mergeCells count="7">
    <mergeCell ref="B7:F7"/>
    <mergeCell ref="B4:F4"/>
    <mergeCell ref="B5:F5"/>
    <mergeCell ref="B6:F6"/>
    <mergeCell ref="D1:F1"/>
    <mergeCell ref="B2:F2"/>
    <mergeCell ref="B3:F3"/>
  </mergeCells>
  <hyperlinks>
    <hyperlink ref="B67" r:id="rId1" xr:uid="{00000000-0004-0000-0000-000000000000}"/>
  </hyperlinks>
  <pageMargins left="0.25" right="0.25" top="0.75" bottom="0.75" header="0.3" footer="0.3"/>
  <pageSetup paperSize="9" scale="72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T85"/>
  <sheetViews>
    <sheetView topLeftCell="A49" workbookViewId="0">
      <selection activeCell="D80" sqref="D80"/>
    </sheetView>
  </sheetViews>
  <sheetFormatPr defaultRowHeight="12.75"/>
  <cols>
    <col min="1" max="1" width="7" style="1" customWidth="1"/>
    <col min="2" max="2" width="58.7109375" style="1" customWidth="1"/>
    <col min="3" max="3" width="11.85546875" style="1" customWidth="1"/>
    <col min="4" max="4" width="10.7109375" style="1" customWidth="1"/>
    <col min="5" max="7" width="10.42578125" style="1" customWidth="1"/>
    <col min="8" max="8" width="11.85546875" style="1" bestFit="1" customWidth="1"/>
    <col min="9" max="9" width="10.42578125" style="1" customWidth="1"/>
    <col min="10" max="10" width="9.140625" style="1"/>
    <col min="11" max="11" width="10.7109375" style="1" bestFit="1" customWidth="1"/>
    <col min="12" max="16384" width="9.140625" style="1"/>
  </cols>
  <sheetData>
    <row r="1" spans="2:20" ht="97.5" customHeight="1">
      <c r="C1" s="124" t="s">
        <v>50</v>
      </c>
      <c r="D1" s="124"/>
      <c r="E1" s="124"/>
      <c r="F1" s="124"/>
      <c r="G1" s="124"/>
      <c r="H1" s="124"/>
      <c r="I1" s="124"/>
    </row>
    <row r="2" spans="2:20">
      <c r="B2" s="118" t="s">
        <v>1</v>
      </c>
      <c r="C2" s="118"/>
      <c r="D2" s="118"/>
      <c r="E2" s="118"/>
      <c r="F2" s="118"/>
      <c r="G2" s="118"/>
      <c r="H2" s="118"/>
      <c r="I2" s="118"/>
    </row>
    <row r="3" spans="2:20">
      <c r="B3" s="114" t="s">
        <v>51</v>
      </c>
      <c r="C3" s="114"/>
      <c r="D3" s="114"/>
      <c r="E3" s="114"/>
      <c r="F3" s="114"/>
      <c r="G3" s="114"/>
      <c r="H3" s="114"/>
      <c r="I3" s="114"/>
    </row>
    <row r="4" spans="2:20" ht="12.75" customHeight="1">
      <c r="B4" s="114" t="s">
        <v>52</v>
      </c>
      <c r="C4" s="114"/>
      <c r="D4" s="114"/>
      <c r="E4" s="114"/>
      <c r="F4" s="114"/>
      <c r="G4" s="114"/>
      <c r="H4" s="114"/>
      <c r="I4" s="114"/>
    </row>
    <row r="5" spans="2:20">
      <c r="B5" s="123" t="s">
        <v>53</v>
      </c>
      <c r="C5" s="123"/>
      <c r="D5" s="123"/>
      <c r="E5" s="123"/>
      <c r="F5" s="123"/>
      <c r="G5" s="123"/>
      <c r="H5" s="123"/>
      <c r="I5" s="123"/>
    </row>
    <row r="6" spans="2:20">
      <c r="B6" s="116" t="s">
        <v>54</v>
      </c>
      <c r="C6" s="116"/>
      <c r="D6" s="116"/>
      <c r="E6" s="116"/>
      <c r="F6" s="116"/>
      <c r="G6" s="116"/>
      <c r="H6" s="116"/>
      <c r="I6" s="11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2:20">
      <c r="B7" s="114" t="s">
        <v>55</v>
      </c>
      <c r="C7" s="114"/>
      <c r="D7" s="114"/>
      <c r="E7" s="114"/>
      <c r="F7" s="114"/>
      <c r="G7" s="114"/>
      <c r="H7" s="114"/>
      <c r="I7" s="114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2:20">
      <c r="B8" s="122"/>
      <c r="C8" s="122"/>
      <c r="D8" s="122"/>
      <c r="E8" s="122"/>
      <c r="F8" s="122"/>
      <c r="G8" s="122"/>
      <c r="H8" s="122"/>
      <c r="I8" s="1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2:20">
      <c r="B9" s="118" t="s">
        <v>56</v>
      </c>
      <c r="C9" s="118"/>
      <c r="D9" s="118"/>
      <c r="E9" s="118"/>
      <c r="F9" s="118"/>
      <c r="G9" s="118"/>
      <c r="H9" s="118"/>
      <c r="I9" s="11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2:20">
      <c r="B10" s="114" t="s">
        <v>57</v>
      </c>
      <c r="C10" s="114"/>
      <c r="D10" s="114"/>
      <c r="E10" s="114"/>
      <c r="F10" s="114"/>
      <c r="G10" s="114"/>
      <c r="H10" s="114"/>
      <c r="I10" s="114"/>
      <c r="J10" s="51"/>
      <c r="K10" s="51"/>
      <c r="L10" s="22"/>
      <c r="M10" s="22"/>
      <c r="N10" s="22"/>
      <c r="O10" s="22"/>
      <c r="P10" s="22"/>
      <c r="Q10" s="22"/>
      <c r="R10" s="22"/>
      <c r="S10" s="22"/>
      <c r="T10" s="22"/>
    </row>
    <row r="11" spans="2:20">
      <c r="B11" s="114" t="s">
        <v>58</v>
      </c>
      <c r="C11" s="114"/>
      <c r="D11" s="114"/>
      <c r="E11" s="114"/>
      <c r="F11" s="114"/>
      <c r="G11" s="114"/>
      <c r="H11" s="114"/>
      <c r="I11" s="11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2:20">
      <c r="B12" s="114" t="s">
        <v>59</v>
      </c>
      <c r="C12" s="114"/>
      <c r="D12" s="114"/>
      <c r="E12" s="114"/>
      <c r="F12" s="114"/>
      <c r="G12" s="114"/>
      <c r="H12" s="114"/>
      <c r="I12" s="11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2:20">
      <c r="B13" s="119" t="s">
        <v>60</v>
      </c>
      <c r="C13" s="119"/>
      <c r="D13" s="119"/>
      <c r="E13" s="119"/>
      <c r="F13" s="119"/>
      <c r="G13" s="119"/>
      <c r="H13" s="119"/>
      <c r="I13" s="119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2:20">
      <c r="B14" s="112"/>
      <c r="C14" s="112"/>
      <c r="D14" s="112"/>
      <c r="E14" s="112"/>
      <c r="F14" s="112"/>
      <c r="G14" s="112"/>
      <c r="H14" s="112"/>
      <c r="I14" s="11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2:20">
      <c r="F15" s="89" t="s">
        <v>8</v>
      </c>
      <c r="G15" s="45"/>
      <c r="H15" s="91" t="s">
        <v>9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>
      <c r="B16" s="2" t="s">
        <v>61</v>
      </c>
      <c r="C16" s="7"/>
      <c r="D16" s="7"/>
      <c r="E16" s="7"/>
      <c r="F16" s="73" t="s">
        <v>62</v>
      </c>
      <c r="G16" s="45"/>
      <c r="H16" s="73" t="s">
        <v>62</v>
      </c>
      <c r="I16" s="1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>
      <c r="B17" s="7" t="s">
        <v>63</v>
      </c>
      <c r="C17" s="7"/>
      <c r="D17" s="7"/>
      <c r="E17" s="7"/>
      <c r="F17" s="74"/>
      <c r="G17" s="7"/>
      <c r="H17" s="74"/>
      <c r="I17" s="10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>
      <c r="B18" s="7" t="s">
        <v>64</v>
      </c>
      <c r="C18" s="7"/>
      <c r="D18" s="7"/>
      <c r="E18" s="7"/>
      <c r="F18" s="74"/>
      <c r="G18" s="7"/>
      <c r="H18" s="74"/>
      <c r="I18" s="1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>
      <c r="B19" s="7" t="s">
        <v>65</v>
      </c>
      <c r="C19" s="7"/>
      <c r="D19" s="7"/>
      <c r="E19" s="7"/>
      <c r="F19" s="74"/>
      <c r="G19" s="7"/>
      <c r="H19" s="74"/>
      <c r="I19" s="1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>
      <c r="B20" s="7" t="s">
        <v>66</v>
      </c>
      <c r="C20" s="7"/>
      <c r="D20" s="7"/>
      <c r="E20" s="7"/>
      <c r="F20" s="74"/>
      <c r="G20" s="7"/>
      <c r="H20" s="74"/>
      <c r="I20" s="10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>
      <c r="B21" s="7" t="s">
        <v>67</v>
      </c>
      <c r="C21" s="7"/>
      <c r="D21" s="7"/>
      <c r="E21" s="7"/>
      <c r="F21" s="74"/>
      <c r="G21" s="7"/>
      <c r="H21" s="74"/>
      <c r="I21" s="10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>
      <c r="B22" s="7" t="s">
        <v>68</v>
      </c>
      <c r="C22" s="7"/>
      <c r="D22" s="7"/>
      <c r="E22" s="7"/>
      <c r="F22" s="74"/>
      <c r="G22" s="7"/>
      <c r="H22" s="74"/>
      <c r="I22" s="1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>
      <c r="B23" s="1" t="s">
        <v>69</v>
      </c>
      <c r="F23" s="75"/>
      <c r="H23" s="7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>
      <c r="F24" s="30">
        <f>SUM(F17:F23)</f>
        <v>0</v>
      </c>
      <c r="H24" s="30">
        <f>SUM(H17:H23)</f>
        <v>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>
      <c r="B25" s="11"/>
      <c r="C25" s="11"/>
      <c r="D25" s="11"/>
      <c r="E25" s="11"/>
      <c r="F25" s="11"/>
      <c r="G25" s="11"/>
      <c r="H25" s="11"/>
      <c r="I25" s="1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>
      <c r="C27" s="120" t="s">
        <v>8</v>
      </c>
      <c r="D27" s="120"/>
      <c r="G27" s="121" t="s">
        <v>9</v>
      </c>
      <c r="H27" s="1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>
      <c r="D28" s="85" t="s">
        <v>70</v>
      </c>
      <c r="H28" s="85" t="s">
        <v>70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>
      <c r="B29" s="88" t="s">
        <v>71</v>
      </c>
      <c r="C29" s="61" t="s">
        <v>72</v>
      </c>
      <c r="D29" s="61" t="s">
        <v>73</v>
      </c>
      <c r="E29" s="61" t="s">
        <v>74</v>
      </c>
      <c r="G29" s="61" t="s">
        <v>72</v>
      </c>
      <c r="H29" s="61" t="s">
        <v>73</v>
      </c>
      <c r="I29" s="61" t="s">
        <v>74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>
      <c r="B30" s="7" t="s">
        <v>63</v>
      </c>
      <c r="C30" s="59"/>
      <c r="D30" s="25"/>
      <c r="E30" s="5">
        <f>C30*D30</f>
        <v>0</v>
      </c>
      <c r="G30" s="59"/>
      <c r="H30" s="25"/>
      <c r="I30" s="5">
        <f>G30*H30</f>
        <v>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>
      <c r="A31" s="9"/>
      <c r="B31" s="7" t="s">
        <v>64</v>
      </c>
      <c r="C31" s="59"/>
      <c r="D31" s="25"/>
      <c r="E31" s="5">
        <f t="shared" ref="E31:E36" si="0">C31*D31</f>
        <v>0</v>
      </c>
      <c r="G31" s="59"/>
      <c r="H31" s="25"/>
      <c r="I31" s="5">
        <f t="shared" ref="I31:I36" si="1">G31*H31</f>
        <v>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>
      <c r="A32" s="9"/>
      <c r="B32" s="7" t="s">
        <v>65</v>
      </c>
      <c r="C32" s="59"/>
      <c r="D32" s="25"/>
      <c r="E32" s="5">
        <f t="shared" si="0"/>
        <v>0</v>
      </c>
      <c r="G32" s="59"/>
      <c r="H32" s="25"/>
      <c r="I32" s="5">
        <f t="shared" si="1"/>
        <v>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>
      <c r="A33" s="9"/>
      <c r="B33" s="7" t="s">
        <v>66</v>
      </c>
      <c r="C33" s="59"/>
      <c r="D33" s="25"/>
      <c r="E33" s="5">
        <f t="shared" si="0"/>
        <v>0</v>
      </c>
      <c r="G33" s="59"/>
      <c r="H33" s="25"/>
      <c r="I33" s="5">
        <f t="shared" si="1"/>
        <v>0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>
      <c r="A34" s="9"/>
      <c r="B34" s="7" t="s">
        <v>67</v>
      </c>
      <c r="C34" s="59"/>
      <c r="D34" s="25"/>
      <c r="E34" s="5">
        <f t="shared" si="0"/>
        <v>0</v>
      </c>
      <c r="G34" s="59"/>
      <c r="H34" s="25"/>
      <c r="I34" s="5">
        <f t="shared" si="1"/>
        <v>0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>
      <c r="B35" s="7" t="s">
        <v>68</v>
      </c>
      <c r="C35" s="59"/>
      <c r="D35" s="25"/>
      <c r="E35" s="5">
        <f t="shared" si="0"/>
        <v>0</v>
      </c>
      <c r="G35" s="59"/>
      <c r="H35" s="25"/>
      <c r="I35" s="5">
        <f t="shared" si="1"/>
        <v>0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>
      <c r="B36" s="1" t="s">
        <v>69</v>
      </c>
      <c r="C36" s="75"/>
      <c r="D36" s="76"/>
      <c r="E36" s="5">
        <f t="shared" si="0"/>
        <v>0</v>
      </c>
      <c r="G36" s="75"/>
      <c r="H36" s="76"/>
      <c r="I36" s="5">
        <f t="shared" si="1"/>
        <v>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>
      <c r="C37" s="16">
        <f>SUM(C30:C36)</f>
        <v>0</v>
      </c>
      <c r="D37" s="60" t="e">
        <f>E37/C37</f>
        <v>#DIV/0!</v>
      </c>
      <c r="E37" s="16">
        <f>SUM(E30:E36)</f>
        <v>0</v>
      </c>
      <c r="G37" s="16">
        <f>SUM(G30:G36)</f>
        <v>0</v>
      </c>
      <c r="H37" s="60" t="e">
        <f>I37/G37</f>
        <v>#DIV/0!</v>
      </c>
      <c r="I37" s="16">
        <f>SUM(I30:I36)</f>
        <v>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>
      <c r="J38" s="56"/>
      <c r="K38" s="52"/>
      <c r="L38" s="39"/>
      <c r="M38" s="22"/>
      <c r="N38" s="22"/>
      <c r="O38" s="22"/>
      <c r="P38" s="22"/>
      <c r="Q38" s="22"/>
      <c r="R38" s="22"/>
      <c r="S38" s="22"/>
      <c r="T38" s="22"/>
    </row>
    <row r="39" spans="1:20">
      <c r="B39" s="118" t="s">
        <v>75</v>
      </c>
      <c r="C39" s="118"/>
      <c r="D39" s="118"/>
      <c r="E39" s="118"/>
      <c r="F39" s="118"/>
      <c r="G39" s="118"/>
      <c r="H39" s="118"/>
      <c r="I39" s="118"/>
      <c r="J39" s="56"/>
      <c r="K39" s="52"/>
      <c r="L39" s="39"/>
      <c r="M39" s="22"/>
      <c r="N39" s="22"/>
      <c r="O39" s="22"/>
      <c r="P39" s="22"/>
      <c r="Q39" s="22"/>
      <c r="R39" s="22"/>
      <c r="S39" s="22"/>
      <c r="T39" s="22"/>
    </row>
    <row r="40" spans="1:20">
      <c r="B40" s="112" t="s">
        <v>76</v>
      </c>
      <c r="C40" s="112"/>
      <c r="D40" s="112"/>
      <c r="E40" s="112"/>
      <c r="F40" s="112"/>
      <c r="G40" s="112"/>
      <c r="H40" s="112"/>
      <c r="I40" s="112"/>
      <c r="J40" s="56"/>
      <c r="K40" s="52"/>
      <c r="L40" s="39"/>
      <c r="M40" s="22"/>
      <c r="N40" s="22"/>
      <c r="O40" s="22"/>
      <c r="P40" s="22"/>
      <c r="Q40" s="22"/>
      <c r="R40" s="22"/>
      <c r="S40" s="22"/>
      <c r="T40" s="22"/>
    </row>
    <row r="41" spans="1:20">
      <c r="A41" s="9"/>
      <c r="B41" s="111" t="s">
        <v>77</v>
      </c>
      <c r="C41" s="111"/>
      <c r="D41" s="111"/>
      <c r="E41" s="111"/>
      <c r="F41" s="111"/>
      <c r="G41" s="111"/>
      <c r="H41" s="111"/>
      <c r="I41" s="111"/>
      <c r="J41" s="56"/>
      <c r="K41" s="52"/>
      <c r="L41" s="39"/>
      <c r="M41" s="22"/>
      <c r="N41" s="22"/>
      <c r="O41" s="22"/>
      <c r="P41" s="22"/>
      <c r="Q41" s="22"/>
      <c r="R41" s="22"/>
      <c r="S41" s="22"/>
      <c r="T41" s="22"/>
    </row>
    <row r="42" spans="1:20">
      <c r="B42" s="111" t="s">
        <v>78</v>
      </c>
      <c r="C42" s="111"/>
      <c r="D42" s="111"/>
      <c r="E42" s="111"/>
      <c r="F42" s="111"/>
      <c r="G42" s="111"/>
      <c r="H42" s="111"/>
      <c r="I42" s="11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>
      <c r="B43" s="112" t="s">
        <v>79</v>
      </c>
      <c r="C43" s="112"/>
      <c r="D43" s="112"/>
      <c r="E43" s="112"/>
      <c r="F43" s="112"/>
      <c r="G43" s="112"/>
      <c r="H43" s="112"/>
      <c r="I43" s="11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>
      <c r="B44" s="84" t="s">
        <v>80</v>
      </c>
      <c r="C44" s="84"/>
      <c r="D44" s="84"/>
      <c r="E44" s="84"/>
      <c r="F44" s="84"/>
      <c r="G44" s="84"/>
      <c r="H44" s="84"/>
      <c r="I44" s="84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>
      <c r="B45" s="84"/>
      <c r="C45" s="84"/>
      <c r="D45" s="84"/>
      <c r="E45" s="84"/>
      <c r="F45" s="84"/>
      <c r="G45" s="84"/>
      <c r="H45" s="84"/>
      <c r="I45" s="84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>
      <c r="P46" s="22"/>
      <c r="Q46" s="22"/>
      <c r="R46" s="22"/>
      <c r="S46" s="22"/>
      <c r="T46" s="22"/>
    </row>
    <row r="47" spans="1:20">
      <c r="C47" s="120" t="s">
        <v>8</v>
      </c>
      <c r="D47" s="120"/>
      <c r="G47" s="121" t="s">
        <v>9</v>
      </c>
      <c r="H47" s="121"/>
      <c r="P47" s="22"/>
      <c r="Q47" s="22"/>
      <c r="R47" s="22"/>
      <c r="S47" s="22"/>
      <c r="T47" s="22"/>
    </row>
    <row r="48" spans="1:20">
      <c r="B48" s="3" t="s">
        <v>81</v>
      </c>
      <c r="C48" s="3" t="s">
        <v>62</v>
      </c>
      <c r="D48" s="3" t="s">
        <v>82</v>
      </c>
      <c r="G48" s="3" t="s">
        <v>62</v>
      </c>
      <c r="H48" s="3" t="s">
        <v>82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2:20">
      <c r="B49" s="1" t="s">
        <v>83</v>
      </c>
      <c r="C49" s="4"/>
      <c r="D49" s="9" t="s">
        <v>84</v>
      </c>
      <c r="G49" s="4"/>
      <c r="H49" s="9" t="s">
        <v>84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>
      <c r="B50" s="1" t="s">
        <v>85</v>
      </c>
      <c r="C50" s="4"/>
      <c r="D50" s="9" t="s">
        <v>86</v>
      </c>
      <c r="G50" s="4"/>
      <c r="H50" s="9" t="s">
        <v>86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2:20">
      <c r="B51" s="1" t="s">
        <v>87</v>
      </c>
      <c r="C51" s="4"/>
      <c r="D51" s="9" t="s">
        <v>88</v>
      </c>
      <c r="G51" s="4"/>
      <c r="H51" s="9" t="s">
        <v>88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>
      <c r="B52" s="9" t="s">
        <v>89</v>
      </c>
      <c r="C52" s="6"/>
      <c r="D52" s="9" t="s">
        <v>90</v>
      </c>
      <c r="G52" s="6"/>
      <c r="H52" s="9" t="s">
        <v>90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2:20">
      <c r="B53" s="1" t="s">
        <v>91</v>
      </c>
      <c r="C53" s="5">
        <f>SUM(C49:C52)</f>
        <v>0</v>
      </c>
      <c r="G53" s="5">
        <f>SUM(G49:G52)</f>
        <v>0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0"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2:20">
      <c r="B55" s="3" t="s">
        <v>92</v>
      </c>
      <c r="C55" s="3" t="s">
        <v>62</v>
      </c>
      <c r="D55" s="3" t="s">
        <v>82</v>
      </c>
      <c r="G55" s="3" t="s">
        <v>62</v>
      </c>
      <c r="H55" s="3" t="s">
        <v>82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>
      <c r="B56" s="1" t="s">
        <v>93</v>
      </c>
      <c r="C56" s="4"/>
      <c r="D56" s="9" t="s">
        <v>94</v>
      </c>
      <c r="G56" s="4"/>
      <c r="H56" s="9" t="s">
        <v>94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2:20">
      <c r="B57" s="1" t="s">
        <v>95</v>
      </c>
      <c r="C57" s="6"/>
      <c r="D57" s="9" t="s">
        <v>96</v>
      </c>
      <c r="G57" s="6"/>
      <c r="H57" s="9" t="s">
        <v>96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>
      <c r="B58" s="1" t="s">
        <v>91</v>
      </c>
      <c r="C58" s="5">
        <f>SUM(C54:C57)</f>
        <v>0</v>
      </c>
      <c r="G58" s="5">
        <f>SUM(G54:G57)</f>
        <v>0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2:20"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2:20">
      <c r="B61" s="3" t="s">
        <v>97</v>
      </c>
      <c r="C61" s="3" t="s">
        <v>62</v>
      </c>
      <c r="D61" s="3" t="s">
        <v>82</v>
      </c>
      <c r="G61" s="3" t="s">
        <v>62</v>
      </c>
      <c r="H61" s="3" t="s">
        <v>82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>
      <c r="B62" s="1" t="s">
        <v>98</v>
      </c>
      <c r="C62" s="110">
        <f>('Pricing &amp; Breakeven Calculator'!D12*'Pricing &amp; Breakeven Calculator'!D13)+('Pricing &amp; Breakeven Calculator'!D15*'Pricing &amp; Breakeven Calculator'!D16)+('Pricing &amp; Breakeven Calculator'!D18*'Pricing &amp; Breakeven Calculator'!D19)+('Pricing &amp; Breakeven Calculator'!D24*'Pricing &amp; Breakeven Calculator'!D21)+('Pricing &amp; Breakeven Calculator'!D27*'Pricing &amp; Breakeven Calculator'!D21)+'Pricing &amp; Breakeven Calculator'!D30+'Pricing &amp; Breakeven Calculator'!D33</f>
        <v>0</v>
      </c>
      <c r="D62" s="9"/>
      <c r="E62" s="9"/>
      <c r="F62" s="9"/>
      <c r="G62" s="110">
        <f>('Pricing &amp; Breakeven Calculator'!F12*'Pricing &amp; Breakeven Calculator'!F13)+('Pricing &amp; Breakeven Calculator'!F15*'Pricing &amp; Breakeven Calculator'!F16)+('Pricing &amp; Breakeven Calculator'!F18*'Pricing &amp; Breakeven Calculator'!F19)+('Pricing &amp; Breakeven Calculator'!F24*'Pricing &amp; Breakeven Calculator'!F21)+('Pricing &amp; Breakeven Calculator'!F27*'Pricing &amp; Breakeven Calculator'!F21)+'Pricing &amp; Breakeven Calculator'!F30+'Pricing &amp; Breakeven Calculator'!F33</f>
        <v>0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2:20">
      <c r="B63" s="1" t="s">
        <v>99</v>
      </c>
      <c r="C63" s="42"/>
      <c r="D63" s="1" t="s">
        <v>100</v>
      </c>
      <c r="G63" s="42"/>
      <c r="H63" s="1" t="s">
        <v>100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>
      <c r="B64" s="1" t="s">
        <v>101</v>
      </c>
      <c r="C64" s="5">
        <f>C62*C63</f>
        <v>0</v>
      </c>
      <c r="G64" s="5">
        <f>G62*G63</f>
        <v>0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2:20"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2:20">
      <c r="B66" s="118" t="s">
        <v>102</v>
      </c>
      <c r="C66" s="118"/>
      <c r="D66" s="118"/>
      <c r="E66" s="118"/>
      <c r="F66" s="118"/>
      <c r="G66" s="118"/>
      <c r="H66" s="118"/>
      <c r="I66" s="118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2:20">
      <c r="B67" s="111" t="s">
        <v>103</v>
      </c>
      <c r="C67" s="111"/>
      <c r="D67" s="111"/>
      <c r="E67" s="111"/>
      <c r="F67" s="111"/>
      <c r="G67" s="111"/>
      <c r="H67" s="111"/>
      <c r="I67" s="11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>
      <c r="B68" s="111" t="s">
        <v>104</v>
      </c>
      <c r="C68" s="111"/>
      <c r="D68" s="111"/>
      <c r="E68" s="111"/>
      <c r="F68" s="111"/>
      <c r="G68" s="111"/>
      <c r="H68" s="111"/>
      <c r="I68" s="11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2:20">
      <c r="B69" s="111" t="s">
        <v>105</v>
      </c>
      <c r="C69" s="111"/>
      <c r="D69" s="111"/>
      <c r="E69" s="111"/>
      <c r="F69" s="111"/>
      <c r="G69" s="111"/>
      <c r="H69" s="111"/>
      <c r="I69" s="111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>
      <c r="B70" s="111" t="s">
        <v>106</v>
      </c>
      <c r="C70" s="111"/>
      <c r="D70" s="111"/>
      <c r="E70" s="111"/>
      <c r="F70" s="111"/>
      <c r="G70" s="111"/>
      <c r="H70" s="111"/>
      <c r="I70" s="111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2:20">
      <c r="B71" s="111" t="s">
        <v>107</v>
      </c>
      <c r="C71" s="111"/>
      <c r="D71" s="111"/>
      <c r="E71" s="111"/>
      <c r="F71" s="111"/>
      <c r="G71" s="111"/>
      <c r="H71" s="111"/>
      <c r="I71" s="111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>
      <c r="B72" s="47"/>
      <c r="C72" s="47"/>
      <c r="D72" s="47"/>
      <c r="E72" s="47"/>
      <c r="F72" s="47"/>
      <c r="G72" s="47"/>
      <c r="H72" s="47"/>
      <c r="I72" s="47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2:20">
      <c r="B73" s="2" t="s">
        <v>102</v>
      </c>
      <c r="C73" s="3" t="s">
        <v>108</v>
      </c>
      <c r="D73" s="61" t="s">
        <v>109</v>
      </c>
      <c r="E73" s="3" t="s">
        <v>82</v>
      </c>
      <c r="F73" s="3"/>
      <c r="I73" s="111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2:20">
      <c r="B74" s="1" t="s">
        <v>110</v>
      </c>
      <c r="C74" s="12"/>
      <c r="D74" s="49">
        <f>C74/'Background Calcs - Hidden'!$I$12</f>
        <v>0</v>
      </c>
      <c r="E74" s="111" t="s">
        <v>111</v>
      </c>
      <c r="F74" s="111"/>
      <c r="G74" s="111"/>
      <c r="H74" s="111"/>
      <c r="I74" s="111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2:20">
      <c r="B75" s="13" t="s">
        <v>112</v>
      </c>
      <c r="C75" s="12"/>
      <c r="D75" s="49">
        <f>C75/'Background Calcs - Hidden'!$I$12</f>
        <v>0</v>
      </c>
      <c r="E75" s="111" t="s">
        <v>113</v>
      </c>
      <c r="F75" s="111"/>
      <c r="G75" s="111"/>
      <c r="H75" s="111"/>
      <c r="I75" s="111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>
      <c r="B76" s="1" t="s">
        <v>114</v>
      </c>
      <c r="C76" s="12"/>
      <c r="D76" s="49">
        <f>C76/'Background Calcs - Hidden'!$I$12</f>
        <v>0</v>
      </c>
      <c r="E76" s="111" t="s">
        <v>115</v>
      </c>
      <c r="F76" s="111"/>
      <c r="G76" s="111"/>
      <c r="H76" s="111"/>
      <c r="I76" s="11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2:20">
      <c r="B77" s="1" t="s">
        <v>116</v>
      </c>
      <c r="C77" s="12"/>
      <c r="D77" s="49">
        <f>C77/'Background Calcs - Hidden'!$I$12</f>
        <v>0</v>
      </c>
      <c r="E77" s="111" t="s">
        <v>117</v>
      </c>
      <c r="F77" s="111"/>
      <c r="G77" s="111"/>
      <c r="H77" s="111"/>
      <c r="I77" s="111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>
      <c r="B78" s="1" t="s">
        <v>118</v>
      </c>
      <c r="C78" s="12"/>
      <c r="D78" s="49">
        <f>C78/'Background Calcs - Hidden'!$I$12</f>
        <v>0</v>
      </c>
      <c r="E78" s="111" t="s">
        <v>119</v>
      </c>
      <c r="F78" s="111"/>
      <c r="G78" s="111"/>
      <c r="H78" s="111"/>
      <c r="I78" s="111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2:20">
      <c r="B79" s="1" t="s">
        <v>120</v>
      </c>
      <c r="C79" s="14"/>
      <c r="D79" s="50">
        <f>C79/'Background Calcs - Hidden'!$I$12</f>
        <v>0</v>
      </c>
      <c r="E79" s="111" t="s">
        <v>121</v>
      </c>
      <c r="F79" s="111"/>
      <c r="G79" s="111"/>
      <c r="H79" s="111"/>
      <c r="I79" s="111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>
      <c r="C80" s="15">
        <f>SUM(C74:C79)</f>
        <v>0</v>
      </c>
      <c r="D80" s="48">
        <f>SUM(D74:D79)</f>
        <v>0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2:20"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>
      <c r="B82" s="1" t="s">
        <v>122</v>
      </c>
      <c r="C82" s="8"/>
      <c r="J82" s="22"/>
      <c r="K82" s="22"/>
      <c r="L82" s="22"/>
      <c r="M82" s="22"/>
      <c r="N82" s="22"/>
      <c r="O82" s="22"/>
    </row>
    <row r="84" spans="2:20">
      <c r="B84" s="1" t="s">
        <v>123</v>
      </c>
      <c r="C84" s="12"/>
    </row>
    <row r="85" spans="2:20">
      <c r="B85" s="1" t="s">
        <v>124</v>
      </c>
      <c r="C85" s="92" t="e">
        <f>C84/D80</f>
        <v>#DIV/0!</v>
      </c>
    </row>
  </sheetData>
  <mergeCells count="19">
    <mergeCell ref="B4:I4"/>
    <mergeCell ref="B5:I5"/>
    <mergeCell ref="B6:I6"/>
    <mergeCell ref="C1:I1"/>
    <mergeCell ref="B2:I2"/>
    <mergeCell ref="B3:I3"/>
    <mergeCell ref="B7:I7"/>
    <mergeCell ref="B8:I8"/>
    <mergeCell ref="B9:I9"/>
    <mergeCell ref="B10:I10"/>
    <mergeCell ref="B11:I11"/>
    <mergeCell ref="B66:I66"/>
    <mergeCell ref="B12:I12"/>
    <mergeCell ref="B13:I13"/>
    <mergeCell ref="C27:D27"/>
    <mergeCell ref="G27:H27"/>
    <mergeCell ref="C47:D47"/>
    <mergeCell ref="G47:H47"/>
    <mergeCell ref="B39:I39"/>
  </mergeCells>
  <pageMargins left="0.25" right="0.25" top="0.75" bottom="0.75" header="0.3" footer="0.3"/>
  <pageSetup paperSize="8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  <pageSetUpPr fitToPage="1"/>
  </sheetPr>
  <dimension ref="A1:Z125"/>
  <sheetViews>
    <sheetView topLeftCell="A46" workbookViewId="0">
      <selection activeCell="I62" sqref="I62:M62"/>
    </sheetView>
  </sheetViews>
  <sheetFormatPr defaultRowHeight="12.75"/>
  <cols>
    <col min="1" max="1" width="7" style="1" customWidth="1"/>
    <col min="2" max="2" width="58.28515625" style="1" customWidth="1"/>
    <col min="3" max="3" width="22" style="1" customWidth="1"/>
    <col min="4" max="4" width="17.28515625" style="1" customWidth="1"/>
    <col min="5" max="5" width="9.28515625" style="1" customWidth="1"/>
    <col min="6" max="6" width="17.28515625" style="1" customWidth="1"/>
    <col min="7" max="7" width="9.28515625" style="9" customWidth="1"/>
    <col min="8" max="8" width="58.7109375" style="1" customWidth="1"/>
    <col min="9" max="9" width="11.85546875" style="1" customWidth="1"/>
    <col min="10" max="10" width="10.7109375" style="1" customWidth="1"/>
    <col min="11" max="13" width="10.42578125" style="1" customWidth="1"/>
    <col min="14" max="14" width="11.85546875" style="1" bestFit="1" customWidth="1"/>
    <col min="15" max="15" width="10.42578125" style="1" customWidth="1"/>
    <col min="16" max="16" width="9.140625" style="1"/>
    <col min="17" max="17" width="10.7109375" style="1" bestFit="1" customWidth="1"/>
    <col min="18" max="16384" width="9.140625" style="1"/>
  </cols>
  <sheetData>
    <row r="1" spans="2:26" ht="97.5" customHeight="1">
      <c r="D1" s="117" t="s">
        <v>0</v>
      </c>
      <c r="E1" s="117"/>
      <c r="F1" s="117"/>
      <c r="G1" s="46"/>
      <c r="I1" s="124" t="s">
        <v>50</v>
      </c>
      <c r="J1" s="124"/>
      <c r="K1" s="124"/>
      <c r="L1" s="124"/>
      <c r="M1" s="124"/>
      <c r="N1" s="124"/>
      <c r="O1" s="124"/>
    </row>
    <row r="2" spans="2:26">
      <c r="B2" s="118" t="s">
        <v>1</v>
      </c>
      <c r="C2" s="118"/>
      <c r="D2" s="118"/>
      <c r="E2" s="118"/>
      <c r="F2" s="118"/>
      <c r="G2" s="35"/>
      <c r="H2" s="118" t="s">
        <v>1</v>
      </c>
      <c r="I2" s="118"/>
      <c r="J2" s="118"/>
      <c r="K2" s="118"/>
      <c r="L2" s="118"/>
      <c r="M2" s="118"/>
      <c r="N2" s="118"/>
      <c r="O2" s="118"/>
    </row>
    <row r="3" spans="2:26">
      <c r="B3" s="116" t="s">
        <v>2</v>
      </c>
      <c r="C3" s="116"/>
      <c r="D3" s="116"/>
      <c r="E3" s="116"/>
      <c r="F3" s="116"/>
      <c r="H3" s="114" t="s">
        <v>51</v>
      </c>
      <c r="I3" s="114"/>
      <c r="J3" s="114"/>
      <c r="K3" s="114"/>
      <c r="L3" s="114"/>
      <c r="M3" s="114"/>
      <c r="N3" s="114"/>
      <c r="O3" s="114"/>
    </row>
    <row r="4" spans="2:26">
      <c r="B4" s="115" t="s">
        <v>3</v>
      </c>
      <c r="C4" s="115"/>
      <c r="D4" s="115"/>
      <c r="E4" s="115"/>
      <c r="F4" s="115"/>
      <c r="H4" s="114" t="s">
        <v>52</v>
      </c>
      <c r="I4" s="114"/>
      <c r="J4" s="114"/>
      <c r="K4" s="114"/>
      <c r="L4" s="114"/>
      <c r="M4" s="114"/>
      <c r="N4" s="114"/>
      <c r="O4" s="114"/>
    </row>
    <row r="5" spans="2:26">
      <c r="B5" s="116" t="s">
        <v>4</v>
      </c>
      <c r="C5" s="116"/>
      <c r="D5" s="116"/>
      <c r="E5" s="116"/>
      <c r="F5" s="116"/>
      <c r="H5" s="123" t="s">
        <v>53</v>
      </c>
      <c r="I5" s="123"/>
      <c r="J5" s="123"/>
      <c r="K5" s="123"/>
      <c r="L5" s="123"/>
      <c r="M5" s="123"/>
      <c r="N5" s="123"/>
      <c r="O5" s="123"/>
    </row>
    <row r="6" spans="2:26">
      <c r="B6" s="114" t="s">
        <v>5</v>
      </c>
      <c r="C6" s="114"/>
      <c r="D6" s="114"/>
      <c r="E6" s="114"/>
      <c r="F6" s="114"/>
      <c r="G6" s="22"/>
      <c r="H6" s="116" t="s">
        <v>54</v>
      </c>
      <c r="I6" s="116"/>
      <c r="J6" s="116"/>
      <c r="K6" s="116"/>
      <c r="L6" s="116"/>
      <c r="M6" s="116"/>
      <c r="N6" s="116"/>
      <c r="O6" s="116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6">
      <c r="B7" s="114" t="s">
        <v>6</v>
      </c>
      <c r="C7" s="114"/>
      <c r="D7" s="114"/>
      <c r="E7" s="114"/>
      <c r="F7" s="114"/>
      <c r="G7" s="22"/>
      <c r="H7" s="114" t="s">
        <v>55</v>
      </c>
      <c r="I7" s="114"/>
      <c r="J7" s="114"/>
      <c r="K7" s="114"/>
      <c r="L7" s="114"/>
      <c r="M7" s="114"/>
      <c r="N7" s="114"/>
      <c r="O7" s="114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2:26" ht="13.5" thickBot="1">
      <c r="G8" s="22"/>
      <c r="H8" s="122"/>
      <c r="I8" s="122"/>
      <c r="J8" s="122"/>
      <c r="K8" s="122"/>
      <c r="L8" s="122"/>
      <c r="M8" s="122"/>
      <c r="N8" s="122"/>
      <c r="O8" s="1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2:26">
      <c r="B9" s="17"/>
      <c r="C9" s="18"/>
      <c r="D9" s="43" t="s">
        <v>7</v>
      </c>
      <c r="E9" s="18"/>
      <c r="F9" s="44" t="s">
        <v>7</v>
      </c>
      <c r="G9" s="22"/>
      <c r="H9" s="118" t="s">
        <v>56</v>
      </c>
      <c r="I9" s="118"/>
      <c r="J9" s="118"/>
      <c r="K9" s="118"/>
      <c r="L9" s="118"/>
      <c r="M9" s="118"/>
      <c r="N9" s="118"/>
      <c r="O9" s="118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2:26">
      <c r="B10" s="19"/>
      <c r="C10" s="7"/>
      <c r="D10" s="89" t="s">
        <v>8</v>
      </c>
      <c r="E10" s="45"/>
      <c r="F10" s="90" t="s">
        <v>9</v>
      </c>
      <c r="G10" s="51"/>
      <c r="H10" s="114" t="s">
        <v>57</v>
      </c>
      <c r="I10" s="114"/>
      <c r="J10" s="114"/>
      <c r="K10" s="114"/>
      <c r="L10" s="114"/>
      <c r="M10" s="114"/>
      <c r="N10" s="114"/>
      <c r="O10" s="114"/>
      <c r="P10" s="51"/>
      <c r="Q10" s="51"/>
      <c r="R10" s="22"/>
      <c r="S10" s="22"/>
      <c r="T10" s="22"/>
      <c r="U10" s="22"/>
      <c r="V10" s="22"/>
      <c r="W10" s="22"/>
      <c r="X10" s="22"/>
      <c r="Y10" s="22"/>
      <c r="Z10" s="22"/>
    </row>
    <row r="11" spans="2:26">
      <c r="B11" s="83" t="s">
        <v>10</v>
      </c>
      <c r="C11" s="97"/>
      <c r="D11" s="21"/>
      <c r="E11" s="22"/>
      <c r="F11" s="23"/>
      <c r="G11" s="22"/>
      <c r="H11" s="114" t="s">
        <v>58</v>
      </c>
      <c r="I11" s="114"/>
      <c r="J11" s="114"/>
      <c r="K11" s="114"/>
      <c r="L11" s="114"/>
      <c r="M11" s="114"/>
      <c r="N11" s="114"/>
      <c r="O11" s="114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>
      <c r="B12" s="19" t="s">
        <v>125</v>
      </c>
      <c r="C12" s="7"/>
      <c r="D12" s="4">
        <v>69.5</v>
      </c>
      <c r="E12" s="7"/>
      <c r="F12" s="24">
        <v>69.5</v>
      </c>
      <c r="G12" s="39"/>
      <c r="H12" s="114" t="s">
        <v>59</v>
      </c>
      <c r="I12" s="114"/>
      <c r="J12" s="114"/>
      <c r="K12" s="114"/>
      <c r="L12" s="114"/>
      <c r="M12" s="114"/>
      <c r="N12" s="114"/>
      <c r="O12" s="11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>
      <c r="B13" s="19" t="s">
        <v>12</v>
      </c>
      <c r="C13" s="7"/>
      <c r="D13" s="8">
        <v>80</v>
      </c>
      <c r="E13" s="7"/>
      <c r="F13" s="20">
        <v>80</v>
      </c>
      <c r="G13" s="22"/>
      <c r="H13" s="119" t="s">
        <v>60</v>
      </c>
      <c r="I13" s="119"/>
      <c r="J13" s="119"/>
      <c r="K13" s="119"/>
      <c r="L13" s="119"/>
      <c r="M13" s="119"/>
      <c r="N13" s="119"/>
      <c r="O13" s="119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>
      <c r="B14" s="19"/>
      <c r="C14" s="7"/>
      <c r="D14" s="21"/>
      <c r="E14" s="22"/>
      <c r="F14" s="23"/>
      <c r="G14" s="22"/>
      <c r="H14" s="112"/>
      <c r="I14" s="112"/>
      <c r="J14" s="112"/>
      <c r="K14" s="112"/>
      <c r="L14" s="112"/>
      <c r="M14" s="112"/>
      <c r="N14" s="112"/>
      <c r="O14" s="11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>
      <c r="B15" s="19" t="s">
        <v>126</v>
      </c>
      <c r="C15" s="7"/>
      <c r="D15" s="4">
        <v>75.5</v>
      </c>
      <c r="E15" s="7"/>
      <c r="F15" s="24">
        <v>75.5</v>
      </c>
      <c r="G15" s="39"/>
      <c r="L15" s="89" t="s">
        <v>8</v>
      </c>
      <c r="M15" s="45"/>
      <c r="N15" s="91" t="s">
        <v>9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>
      <c r="B16" s="19" t="s">
        <v>12</v>
      </c>
      <c r="C16" s="7"/>
      <c r="D16" s="8">
        <v>10</v>
      </c>
      <c r="E16" s="7"/>
      <c r="F16" s="20">
        <v>10</v>
      </c>
      <c r="G16" s="22"/>
      <c r="H16" s="2" t="s">
        <v>61</v>
      </c>
      <c r="I16" s="7"/>
      <c r="J16" s="7"/>
      <c r="K16" s="7"/>
      <c r="L16" s="73" t="s">
        <v>62</v>
      </c>
      <c r="M16" s="45"/>
      <c r="N16" s="73" t="s">
        <v>62</v>
      </c>
      <c r="O16" s="10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>
      <c r="B17" s="19"/>
      <c r="C17" s="7"/>
      <c r="D17" s="21"/>
      <c r="E17" s="22"/>
      <c r="F17" s="23"/>
      <c r="G17" s="22"/>
      <c r="H17" s="7" t="s">
        <v>63</v>
      </c>
      <c r="I17" s="7"/>
      <c r="J17" s="7"/>
      <c r="K17" s="7"/>
      <c r="L17" s="74">
        <v>350</v>
      </c>
      <c r="M17" s="7"/>
      <c r="N17" s="74">
        <v>350</v>
      </c>
      <c r="O17" s="10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>
      <c r="B18" s="19" t="s">
        <v>127</v>
      </c>
      <c r="C18" s="7"/>
      <c r="D18" s="4">
        <v>65.5</v>
      </c>
      <c r="E18" s="7"/>
      <c r="F18" s="24">
        <v>65.5</v>
      </c>
      <c r="G18" s="39"/>
      <c r="H18" s="7" t="s">
        <v>64</v>
      </c>
      <c r="I18" s="7"/>
      <c r="J18" s="7"/>
      <c r="K18" s="7"/>
      <c r="L18" s="74">
        <v>750</v>
      </c>
      <c r="M18" s="7"/>
      <c r="N18" s="74">
        <v>750</v>
      </c>
      <c r="O18" s="10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>
      <c r="B19" s="19" t="s">
        <v>12</v>
      </c>
      <c r="C19" s="7"/>
      <c r="D19" s="8">
        <v>6</v>
      </c>
      <c r="E19" s="7"/>
      <c r="F19" s="20">
        <v>6</v>
      </c>
      <c r="G19" s="22"/>
      <c r="H19" s="7" t="s">
        <v>65</v>
      </c>
      <c r="I19" s="7"/>
      <c r="J19" s="7"/>
      <c r="K19" s="7"/>
      <c r="L19" s="74">
        <v>0</v>
      </c>
      <c r="M19" s="7"/>
      <c r="N19" s="74">
        <v>0</v>
      </c>
      <c r="O19" s="1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>
      <c r="B20" s="19"/>
      <c r="C20" s="7"/>
      <c r="D20" s="21"/>
      <c r="E20" s="22"/>
      <c r="F20" s="23"/>
      <c r="G20" s="22"/>
      <c r="H20" s="7" t="s">
        <v>66</v>
      </c>
      <c r="I20" s="7"/>
      <c r="J20" s="7"/>
      <c r="K20" s="7"/>
      <c r="L20" s="74">
        <v>0</v>
      </c>
      <c r="M20" s="7"/>
      <c r="N20" s="74">
        <v>0</v>
      </c>
      <c r="O20" s="1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>
      <c r="B21" s="19" t="s">
        <v>128</v>
      </c>
      <c r="C21" s="7"/>
      <c r="D21" s="22">
        <f>D13+D16+D19</f>
        <v>96</v>
      </c>
      <c r="E21" s="22"/>
      <c r="F21" s="65">
        <f>F13+F16+F19</f>
        <v>96</v>
      </c>
      <c r="G21" s="22"/>
      <c r="H21" s="7" t="s">
        <v>67</v>
      </c>
      <c r="I21" s="7"/>
      <c r="J21" s="7"/>
      <c r="K21" s="7"/>
      <c r="L21" s="74">
        <v>0</v>
      </c>
      <c r="M21" s="7"/>
      <c r="N21" s="74">
        <v>0</v>
      </c>
      <c r="O21" s="10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>
      <c r="B22" s="19" t="s">
        <v>16</v>
      </c>
      <c r="C22" s="7"/>
      <c r="D22" s="25">
        <v>0.13500000000000001</v>
      </c>
      <c r="E22" s="7"/>
      <c r="F22" s="26">
        <v>0.13500000000000001</v>
      </c>
      <c r="G22" s="22"/>
      <c r="H22" s="7" t="s">
        <v>129</v>
      </c>
      <c r="I22" s="7"/>
      <c r="J22" s="7"/>
      <c r="K22" s="7"/>
      <c r="L22" s="74">
        <v>0</v>
      </c>
      <c r="M22" s="7"/>
      <c r="N22" s="74">
        <v>65</v>
      </c>
      <c r="O22" s="10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>
      <c r="B23" s="19"/>
      <c r="C23" s="7"/>
      <c r="D23" s="7"/>
      <c r="E23" s="7"/>
      <c r="F23" s="29"/>
      <c r="G23" s="22"/>
      <c r="H23" s="1" t="s">
        <v>69</v>
      </c>
      <c r="L23" s="75">
        <v>0</v>
      </c>
      <c r="N23" s="75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>
      <c r="B24" s="102" t="s">
        <v>17</v>
      </c>
      <c r="C24" s="103" t="s">
        <v>130</v>
      </c>
      <c r="D24" s="4">
        <v>0</v>
      </c>
      <c r="E24" s="7"/>
      <c r="F24" s="24">
        <v>5.5</v>
      </c>
      <c r="G24" s="39"/>
      <c r="L24" s="30">
        <f>SUM(L17:L23)</f>
        <v>1100</v>
      </c>
      <c r="N24" s="30">
        <f>SUM(N17:N23)</f>
        <v>1165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>
      <c r="B25" s="36" t="s">
        <v>19</v>
      </c>
      <c r="C25" s="7"/>
      <c r="D25" s="25">
        <v>0</v>
      </c>
      <c r="E25" s="7"/>
      <c r="F25" s="26">
        <v>0.23</v>
      </c>
      <c r="G25" s="22"/>
      <c r="H25" s="11"/>
      <c r="I25" s="11"/>
      <c r="J25" s="11"/>
      <c r="K25" s="11"/>
      <c r="L25" s="11"/>
      <c r="M25" s="11"/>
      <c r="N25" s="11"/>
      <c r="O25" s="11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>
      <c r="B26" s="36"/>
      <c r="C26" s="7"/>
      <c r="D26" s="27"/>
      <c r="E26" s="22"/>
      <c r="F26" s="28"/>
      <c r="G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>
      <c r="B27" s="102" t="s">
        <v>20</v>
      </c>
      <c r="C27" s="103" t="s">
        <v>131</v>
      </c>
      <c r="D27" s="4">
        <v>0</v>
      </c>
      <c r="E27" s="7"/>
      <c r="F27" s="24">
        <v>6</v>
      </c>
      <c r="G27" s="39"/>
      <c r="I27" s="120" t="s">
        <v>8</v>
      </c>
      <c r="J27" s="120"/>
      <c r="M27" s="121" t="s">
        <v>9</v>
      </c>
      <c r="N27" s="12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>
      <c r="B28" s="36" t="s">
        <v>19</v>
      </c>
      <c r="C28" s="7"/>
      <c r="D28" s="25">
        <v>0</v>
      </c>
      <c r="E28" s="7"/>
      <c r="F28" s="26">
        <v>0.13500000000000001</v>
      </c>
      <c r="G28" s="22"/>
      <c r="J28" s="85" t="s">
        <v>70</v>
      </c>
      <c r="N28" s="85" t="s">
        <v>70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>
      <c r="B29" s="36"/>
      <c r="C29" s="7"/>
      <c r="D29" s="27"/>
      <c r="E29" s="22"/>
      <c r="F29" s="28"/>
      <c r="G29" s="22"/>
      <c r="H29" s="88" t="s">
        <v>71</v>
      </c>
      <c r="I29" s="61" t="s">
        <v>72</v>
      </c>
      <c r="J29" s="61" t="s">
        <v>73</v>
      </c>
      <c r="K29" s="61" t="s">
        <v>74</v>
      </c>
      <c r="M29" s="61" t="s">
        <v>72</v>
      </c>
      <c r="N29" s="61" t="s">
        <v>73</v>
      </c>
      <c r="O29" s="61" t="s">
        <v>74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>
      <c r="B30" s="36" t="s">
        <v>21</v>
      </c>
      <c r="C30" s="103" t="s">
        <v>132</v>
      </c>
      <c r="D30" s="4">
        <v>0</v>
      </c>
      <c r="E30" s="22"/>
      <c r="F30" s="24">
        <v>300</v>
      </c>
      <c r="G30" s="22"/>
      <c r="H30" s="7" t="s">
        <v>63</v>
      </c>
      <c r="I30" s="59">
        <v>40</v>
      </c>
      <c r="J30" s="25">
        <v>0.15</v>
      </c>
      <c r="K30" s="5">
        <f>I30*J30</f>
        <v>6</v>
      </c>
      <c r="M30" s="59">
        <v>40</v>
      </c>
      <c r="N30" s="25">
        <v>0.15</v>
      </c>
      <c r="O30" s="5">
        <f>M30*N30</f>
        <v>6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>
      <c r="A31" s="9"/>
      <c r="B31" s="36" t="s">
        <v>19</v>
      </c>
      <c r="C31" s="7"/>
      <c r="D31" s="25">
        <v>0</v>
      </c>
      <c r="E31" s="22"/>
      <c r="F31" s="26">
        <v>0.23</v>
      </c>
      <c r="G31" s="22"/>
      <c r="H31" s="7" t="s">
        <v>64</v>
      </c>
      <c r="I31" s="59">
        <v>30</v>
      </c>
      <c r="J31" s="25">
        <v>0.2</v>
      </c>
      <c r="K31" s="5">
        <f t="shared" ref="K31:K36" si="0">I31*J31</f>
        <v>6</v>
      </c>
      <c r="M31" s="59">
        <v>35.5</v>
      </c>
      <c r="N31" s="25">
        <v>0.19500000000000001</v>
      </c>
      <c r="O31" s="5">
        <f t="shared" ref="O31:O36" si="1">M31*N31</f>
        <v>6.9225000000000003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>
      <c r="A32" s="9"/>
      <c r="B32" s="36"/>
      <c r="C32" s="7"/>
      <c r="D32" s="27"/>
      <c r="E32" s="22"/>
      <c r="F32" s="28"/>
      <c r="G32" s="39"/>
      <c r="H32" s="7" t="s">
        <v>65</v>
      </c>
      <c r="I32" s="59"/>
      <c r="J32" s="25"/>
      <c r="K32" s="5">
        <f t="shared" si="0"/>
        <v>0</v>
      </c>
      <c r="M32" s="59"/>
      <c r="N32" s="25"/>
      <c r="O32" s="5">
        <f t="shared" si="1"/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>
      <c r="A33" s="9"/>
      <c r="B33" s="36" t="s">
        <v>23</v>
      </c>
      <c r="C33" s="103" t="s">
        <v>24</v>
      </c>
      <c r="D33" s="4">
        <v>0</v>
      </c>
      <c r="E33" s="22"/>
      <c r="F33" s="24">
        <v>0</v>
      </c>
      <c r="G33" s="22"/>
      <c r="H33" s="7" t="s">
        <v>66</v>
      </c>
      <c r="I33" s="59"/>
      <c r="J33" s="25"/>
      <c r="K33" s="5">
        <f t="shared" si="0"/>
        <v>0</v>
      </c>
      <c r="M33" s="59"/>
      <c r="N33" s="25"/>
      <c r="O33" s="5">
        <f t="shared" si="1"/>
        <v>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>
      <c r="A34" s="9"/>
      <c r="B34" s="36" t="s">
        <v>19</v>
      </c>
      <c r="C34" s="7"/>
      <c r="D34" s="25">
        <v>0</v>
      </c>
      <c r="E34" s="22"/>
      <c r="F34" s="26">
        <v>0</v>
      </c>
      <c r="G34" s="22"/>
      <c r="H34" s="7" t="s">
        <v>67</v>
      </c>
      <c r="I34" s="59"/>
      <c r="J34" s="25"/>
      <c r="K34" s="5">
        <f t="shared" si="0"/>
        <v>0</v>
      </c>
      <c r="M34" s="59"/>
      <c r="N34" s="25"/>
      <c r="O34" s="5">
        <f t="shared" si="1"/>
        <v>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>
      <c r="B35" s="19"/>
      <c r="C35" s="7"/>
      <c r="D35" s="7"/>
      <c r="E35" s="7"/>
      <c r="F35" s="29"/>
      <c r="G35" s="22"/>
      <c r="H35" s="7" t="s">
        <v>68</v>
      </c>
      <c r="I35" s="59"/>
      <c r="J35" s="25"/>
      <c r="K35" s="5">
        <f t="shared" si="0"/>
        <v>0</v>
      </c>
      <c r="M35" s="59"/>
      <c r="N35" s="25"/>
      <c r="O35" s="5">
        <f t="shared" si="1"/>
        <v>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>
      <c r="B36" s="36" t="s">
        <v>25</v>
      </c>
      <c r="C36" s="104"/>
      <c r="D36" s="4">
        <v>8</v>
      </c>
      <c r="E36" s="7"/>
      <c r="F36" s="24">
        <v>8</v>
      </c>
      <c r="G36" s="22"/>
      <c r="H36" s="1" t="s">
        <v>69</v>
      </c>
      <c r="I36" s="75"/>
      <c r="J36" s="76"/>
      <c r="K36" s="5">
        <f t="shared" si="0"/>
        <v>0</v>
      </c>
      <c r="M36" s="75"/>
      <c r="N36" s="76"/>
      <c r="O36" s="5">
        <f t="shared" si="1"/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>
      <c r="B37" s="19"/>
      <c r="C37" s="7"/>
      <c r="D37" s="7"/>
      <c r="E37" s="7"/>
      <c r="F37" s="29"/>
      <c r="G37" s="22"/>
      <c r="I37" s="16">
        <f>SUM(I30:I36)</f>
        <v>70</v>
      </c>
      <c r="J37" s="60">
        <f>K37/I37</f>
        <v>0.17142857142857143</v>
      </c>
      <c r="K37" s="16">
        <f>SUM(K30:K36)</f>
        <v>12</v>
      </c>
      <c r="M37" s="16">
        <f>SUM(M30:M36)</f>
        <v>75.5</v>
      </c>
      <c r="N37" s="60">
        <f>O37/M37</f>
        <v>0.17115894039735099</v>
      </c>
      <c r="O37" s="16">
        <f>SUM(O30:O36)</f>
        <v>12.922499999999999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>
      <c r="B38" s="83" t="s">
        <v>26</v>
      </c>
      <c r="C38" s="97"/>
      <c r="D38" s="27"/>
      <c r="E38" s="22"/>
      <c r="F38" s="28"/>
      <c r="G38" s="52"/>
      <c r="P38" s="56"/>
      <c r="Q38" s="52"/>
      <c r="R38" s="39"/>
      <c r="S38" s="22"/>
      <c r="T38" s="22"/>
      <c r="U38" s="22"/>
      <c r="V38" s="22"/>
      <c r="W38" s="22"/>
      <c r="X38" s="22"/>
      <c r="Y38" s="22"/>
      <c r="Z38" s="22"/>
    </row>
    <row r="39" spans="1:26">
      <c r="B39" s="19" t="s">
        <v>27</v>
      </c>
      <c r="C39" s="7"/>
      <c r="D39" s="4">
        <f>6+15+10</f>
        <v>31</v>
      </c>
      <c r="E39" s="22"/>
      <c r="F39" s="24">
        <f>6+15+10</f>
        <v>31</v>
      </c>
      <c r="G39" s="39"/>
      <c r="H39" s="118" t="s">
        <v>75</v>
      </c>
      <c r="I39" s="118"/>
      <c r="J39" s="118"/>
      <c r="K39" s="118"/>
      <c r="L39" s="118"/>
      <c r="M39" s="118"/>
      <c r="N39" s="118"/>
      <c r="O39" s="118"/>
      <c r="P39" s="56"/>
      <c r="Q39" s="52"/>
      <c r="R39" s="39"/>
      <c r="S39" s="22"/>
      <c r="T39" s="22"/>
      <c r="U39" s="22"/>
      <c r="V39" s="22"/>
      <c r="W39" s="22"/>
      <c r="X39" s="22"/>
      <c r="Y39" s="22"/>
      <c r="Z39" s="22"/>
    </row>
    <row r="40" spans="1:26">
      <c r="B40" s="102" t="s">
        <v>28</v>
      </c>
      <c r="C40" s="105" t="str">
        <f>C24</f>
        <v>Wine with dinner</v>
      </c>
      <c r="D40" s="4">
        <v>0</v>
      </c>
      <c r="E40" s="7"/>
      <c r="F40" s="24">
        <v>1.4</v>
      </c>
      <c r="G40" s="39"/>
      <c r="H40" s="112" t="s">
        <v>76</v>
      </c>
      <c r="I40" s="112"/>
      <c r="J40" s="112"/>
      <c r="K40" s="112"/>
      <c r="L40" s="112"/>
      <c r="M40" s="112"/>
      <c r="N40" s="112"/>
      <c r="O40" s="112"/>
      <c r="P40" s="56"/>
      <c r="Q40" s="52"/>
      <c r="R40" s="39"/>
      <c r="S40" s="22"/>
      <c r="T40" s="22"/>
      <c r="U40" s="22"/>
      <c r="V40" s="22"/>
      <c r="W40" s="22"/>
      <c r="X40" s="22"/>
      <c r="Y40" s="22"/>
      <c r="Z40" s="22"/>
    </row>
    <row r="41" spans="1:26">
      <c r="A41" s="9"/>
      <c r="B41" s="19" t="s">
        <v>29</v>
      </c>
      <c r="C41" s="105" t="str">
        <f>C27</f>
        <v>Guided tour walk</v>
      </c>
      <c r="D41" s="4">
        <v>0</v>
      </c>
      <c r="E41" s="7"/>
      <c r="F41" s="24">
        <v>0.5</v>
      </c>
      <c r="G41" s="52"/>
      <c r="H41" s="111" t="s">
        <v>77</v>
      </c>
      <c r="I41" s="111"/>
      <c r="J41" s="111"/>
      <c r="K41" s="111"/>
      <c r="L41" s="111"/>
      <c r="M41" s="111"/>
      <c r="N41" s="111"/>
      <c r="O41" s="111"/>
      <c r="P41" s="56"/>
      <c r="Q41" s="52"/>
      <c r="R41" s="39"/>
      <c r="S41" s="22"/>
      <c r="T41" s="22"/>
      <c r="U41" s="22"/>
      <c r="V41" s="22"/>
      <c r="W41" s="22"/>
      <c r="X41" s="22"/>
      <c r="Y41" s="22"/>
      <c r="Z41" s="22"/>
    </row>
    <row r="42" spans="1:26">
      <c r="B42" s="19" t="s">
        <v>30</v>
      </c>
      <c r="C42" s="105" t="str">
        <f>C30</f>
        <v>Gin Cocktail Demo</v>
      </c>
      <c r="D42" s="4">
        <v>0</v>
      </c>
      <c r="E42" s="7"/>
      <c r="F42" s="24">
        <v>175</v>
      </c>
      <c r="G42" s="22"/>
      <c r="H42" s="111" t="s">
        <v>78</v>
      </c>
      <c r="I42" s="111"/>
      <c r="J42" s="111"/>
      <c r="K42" s="111"/>
      <c r="L42" s="111"/>
      <c r="M42" s="111"/>
      <c r="N42" s="111"/>
      <c r="O42" s="11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>
      <c r="B43" s="19" t="s">
        <v>31</v>
      </c>
      <c r="C43" s="105" t="str">
        <f>C33</f>
        <v>Name of One-off Incl</v>
      </c>
      <c r="D43" s="4">
        <v>0</v>
      </c>
      <c r="E43" s="7"/>
      <c r="F43" s="24">
        <v>0</v>
      </c>
      <c r="G43" s="22"/>
      <c r="H43" s="112" t="s">
        <v>79</v>
      </c>
      <c r="I43" s="112"/>
      <c r="J43" s="112"/>
      <c r="K43" s="112"/>
      <c r="L43" s="112"/>
      <c r="M43" s="112"/>
      <c r="N43" s="112"/>
      <c r="O43" s="11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>
      <c r="B44" s="19" t="s">
        <v>32</v>
      </c>
      <c r="C44" s="7"/>
      <c r="D44" s="4">
        <v>1.5</v>
      </c>
      <c r="E44" s="7"/>
      <c r="F44" s="24">
        <v>1.5</v>
      </c>
      <c r="G44" s="22"/>
      <c r="H44" s="84" t="s">
        <v>80</v>
      </c>
      <c r="I44" s="84"/>
      <c r="J44" s="84"/>
      <c r="K44" s="84"/>
      <c r="L44" s="84"/>
      <c r="M44" s="84"/>
      <c r="N44" s="84"/>
      <c r="O44" s="84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>
      <c r="B45" s="19" t="s">
        <v>33</v>
      </c>
      <c r="C45" s="7"/>
      <c r="D45" s="25">
        <v>0.03</v>
      </c>
      <c r="E45" s="63"/>
      <c r="F45" s="26">
        <v>0.03</v>
      </c>
      <c r="G45" s="70"/>
      <c r="H45" s="84"/>
      <c r="I45" s="84"/>
      <c r="J45" s="84"/>
      <c r="K45" s="84"/>
      <c r="L45" s="84"/>
      <c r="M45" s="84"/>
      <c r="N45" s="84"/>
      <c r="O45" s="84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>
      <c r="B46" s="19" t="s">
        <v>34</v>
      </c>
      <c r="C46" s="7"/>
      <c r="D46" s="25">
        <v>0.17100000000000001</v>
      </c>
      <c r="E46" s="63"/>
      <c r="F46" s="26">
        <v>0.17100000000000001</v>
      </c>
      <c r="G46" s="70"/>
      <c r="V46" s="22"/>
      <c r="W46" s="22"/>
      <c r="X46" s="22"/>
      <c r="Y46" s="22"/>
      <c r="Z46" s="22"/>
    </row>
    <row r="47" spans="1:26">
      <c r="B47" s="19" t="s">
        <v>35</v>
      </c>
      <c r="C47" s="7"/>
      <c r="D47" s="4">
        <v>1100</v>
      </c>
      <c r="E47" s="7"/>
      <c r="F47" s="24">
        <v>1165</v>
      </c>
      <c r="G47" s="69"/>
      <c r="I47" s="120" t="s">
        <v>8</v>
      </c>
      <c r="J47" s="120"/>
      <c r="M47" s="121" t="s">
        <v>9</v>
      </c>
      <c r="N47" s="121"/>
      <c r="V47" s="22"/>
      <c r="W47" s="22"/>
      <c r="X47" s="22"/>
      <c r="Y47" s="22"/>
      <c r="Z47" s="22"/>
    </row>
    <row r="48" spans="1:26">
      <c r="B48" s="19" t="s">
        <v>36</v>
      </c>
      <c r="C48" s="7"/>
      <c r="D48" s="12">
        <v>1115</v>
      </c>
      <c r="E48" s="7"/>
      <c r="F48" s="96">
        <v>1115</v>
      </c>
      <c r="G48" s="68"/>
      <c r="H48" s="3" t="s">
        <v>81</v>
      </c>
      <c r="I48" s="3" t="s">
        <v>62</v>
      </c>
      <c r="J48" s="3" t="s">
        <v>82</v>
      </c>
      <c r="M48" s="3" t="s">
        <v>62</v>
      </c>
      <c r="N48" s="3" t="s">
        <v>82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2:26">
      <c r="B49" s="31"/>
      <c r="C49" s="98"/>
      <c r="D49" s="7"/>
      <c r="E49" s="7"/>
      <c r="F49" s="29"/>
      <c r="G49" s="68"/>
      <c r="H49" s="1" t="s">
        <v>83</v>
      </c>
      <c r="I49" s="4">
        <v>31</v>
      </c>
      <c r="J49" s="9" t="s">
        <v>133</v>
      </c>
      <c r="M49" s="4">
        <v>31</v>
      </c>
      <c r="N49" s="9" t="s">
        <v>134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2:26">
      <c r="B50" s="53" t="s">
        <v>37</v>
      </c>
      <c r="C50" s="51"/>
      <c r="D50" s="52">
        <f>'Background Calcs - Hidden'!I32/D21</f>
        <v>69.875</v>
      </c>
      <c r="E50" s="51"/>
      <c r="F50" s="54">
        <f>'Background Calcs - Hidden'!K32/F21</f>
        <v>84.5</v>
      </c>
      <c r="G50" s="69"/>
      <c r="H50" s="1" t="s">
        <v>85</v>
      </c>
      <c r="I50" s="4"/>
      <c r="J50" s="9"/>
      <c r="M50" s="4">
        <v>1.4</v>
      </c>
      <c r="N50" s="9" t="s">
        <v>130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2:26">
      <c r="B51" s="36" t="s">
        <v>38</v>
      </c>
      <c r="C51" s="22"/>
      <c r="D51" s="10">
        <f>'Background Calcs - Hidden'!I34/D21</f>
        <v>69.563876651982369</v>
      </c>
      <c r="E51" s="22"/>
      <c r="F51" s="32">
        <f>'Background Calcs - Hidden'!K34/F21</f>
        <v>81.862415386268395</v>
      </c>
      <c r="G51" s="68"/>
      <c r="H51" s="1" t="s">
        <v>87</v>
      </c>
      <c r="I51" s="4"/>
      <c r="J51" s="9"/>
      <c r="M51" s="4"/>
      <c r="N51" s="9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>
      <c r="B52" s="36"/>
      <c r="C52" s="22"/>
      <c r="D52" s="39"/>
      <c r="E52" s="22"/>
      <c r="F52" s="55"/>
      <c r="G52" s="68"/>
      <c r="H52" s="9" t="s">
        <v>89</v>
      </c>
      <c r="I52" s="6">
        <v>1.5</v>
      </c>
      <c r="J52" s="9" t="s">
        <v>135</v>
      </c>
      <c r="M52" s="6">
        <v>1.5</v>
      </c>
      <c r="N52" s="9" t="s">
        <v>135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2:26">
      <c r="B53" s="19"/>
      <c r="C53" s="7"/>
      <c r="D53" s="22"/>
      <c r="E53" s="7"/>
      <c r="F53" s="65"/>
      <c r="G53" s="68"/>
      <c r="H53" s="1" t="s">
        <v>91</v>
      </c>
      <c r="I53" s="5">
        <f>SUM(I49:I52)</f>
        <v>32.5</v>
      </c>
      <c r="M53" s="5">
        <f>SUM(M49:M52)</f>
        <v>33.9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2:26">
      <c r="B54" s="53" t="s">
        <v>39</v>
      </c>
      <c r="C54" s="51"/>
      <c r="D54" s="52">
        <f>'Background Calcs - Hidden'!I33</f>
        <v>5910.1321585903079</v>
      </c>
      <c r="E54" s="22"/>
      <c r="F54" s="54">
        <f>'Background Calcs - Hidden'!K33</f>
        <v>7090.791877081766</v>
      </c>
      <c r="G54" s="68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>
      <c r="B55" s="53" t="s">
        <v>40</v>
      </c>
      <c r="C55" s="51"/>
      <c r="D55" s="52">
        <f>'Background Calcs - Hidden'!I34</f>
        <v>6678.1321585903079</v>
      </c>
      <c r="E55" s="22"/>
      <c r="F55" s="54">
        <f>'Background Calcs - Hidden'!K34</f>
        <v>7858.791877081766</v>
      </c>
      <c r="G55" s="71"/>
      <c r="H55" s="3" t="s">
        <v>92</v>
      </c>
      <c r="I55" s="3" t="s">
        <v>62</v>
      </c>
      <c r="J55" s="3" t="s">
        <v>82</v>
      </c>
      <c r="M55" s="3" t="s">
        <v>62</v>
      </c>
      <c r="N55" s="3" t="s">
        <v>82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>
      <c r="B56" s="36"/>
      <c r="C56" s="22"/>
      <c r="D56" s="39"/>
      <c r="E56" s="22"/>
      <c r="F56" s="55"/>
      <c r="G56" s="22"/>
      <c r="H56" s="1" t="s">
        <v>93</v>
      </c>
      <c r="I56" s="4"/>
      <c r="J56" s="9"/>
      <c r="M56" s="4">
        <v>175</v>
      </c>
      <c r="N56" s="9" t="s">
        <v>136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>
      <c r="B57" s="31" t="s">
        <v>41</v>
      </c>
      <c r="C57" s="98"/>
      <c r="D57" s="63">
        <f>(D51-'Background Calcs - Hidden'!J59)/D51</f>
        <v>0.33166932113229053</v>
      </c>
      <c r="E57" s="63"/>
      <c r="F57" s="64">
        <f>(F51-'Background Calcs - Hidden'!L59)/F51</f>
        <v>0.35554809311712648</v>
      </c>
      <c r="G57" s="22"/>
      <c r="H57" s="1" t="s">
        <v>95</v>
      </c>
      <c r="I57" s="6"/>
      <c r="J57" s="9"/>
      <c r="M57" s="6"/>
      <c r="N57" s="9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2:26">
      <c r="B58" s="31" t="s">
        <v>42</v>
      </c>
      <c r="C58" s="98"/>
      <c r="D58" s="49">
        <f>'Background Calcs - Hidden'!I62*D50</f>
        <v>6708.2072746058993</v>
      </c>
      <c r="E58" s="49"/>
      <c r="F58" s="108">
        <f>'Background Calcs - Hidden'!K62*F50</f>
        <v>6619.2479200549678</v>
      </c>
      <c r="G58" s="22"/>
      <c r="H58" s="1" t="s">
        <v>91</v>
      </c>
      <c r="I58" s="5">
        <f>SUM(I54:I57)</f>
        <v>0</v>
      </c>
      <c r="M58" s="5">
        <f>SUM(M54:M57)</f>
        <v>175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2:26" ht="13.5" thickBot="1">
      <c r="B59" s="33" t="s">
        <v>43</v>
      </c>
      <c r="C59" s="99"/>
      <c r="D59" s="107">
        <f>D55-D47-D48-(D40*D21)-(D45*'Background Calcs - Hidden'!I32)-(D46*D55)-(D39*D21)-(D41*D21)-(D44*D21)-D42-D43</f>
        <v>-6.8440528634710063E-2</v>
      </c>
      <c r="E59" s="107"/>
      <c r="F59" s="109">
        <f>F55-F47-F48-(F40*F21)-(F45*'Background Calcs - Hidden'!K32)-(F46*F55)-(F39*F21)-(F41*F21)-(F44*F21)-F42-F43</f>
        <v>514.17846610078459</v>
      </c>
      <c r="G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2:26" ht="13.5" thickBot="1">
      <c r="G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2:26">
      <c r="B61" s="40" t="s">
        <v>44</v>
      </c>
      <c r="C61" s="100"/>
      <c r="D61" s="18"/>
      <c r="E61" s="18"/>
      <c r="F61" s="38"/>
      <c r="G61" s="22"/>
      <c r="H61" s="3" t="s">
        <v>97</v>
      </c>
      <c r="I61" s="3" t="s">
        <v>62</v>
      </c>
      <c r="J61" s="3" t="s">
        <v>82</v>
      </c>
      <c r="M61" s="3" t="s">
        <v>62</v>
      </c>
      <c r="N61" s="3" t="s">
        <v>82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2:26">
      <c r="B62" s="19" t="s">
        <v>45</v>
      </c>
      <c r="C62" s="7"/>
      <c r="D62" s="87">
        <v>0.23</v>
      </c>
      <c r="E62" s="7"/>
      <c r="F62" s="29"/>
      <c r="G62" s="22"/>
      <c r="H62" s="1" t="s">
        <v>98</v>
      </c>
      <c r="I62" s="113">
        <f>(D12*D13)+(D15*D16)+(D18*D19)+(D24*D21)+(D27*D21)+D30+D33</f>
        <v>6708</v>
      </c>
      <c r="J62" s="48"/>
      <c r="K62" s="48"/>
      <c r="L62" s="48"/>
      <c r="M62" s="113">
        <f>(F12*F13)+(F15*F16)+(F18*F19)+(F24*F21)+(F27*F21)+F30+F33</f>
        <v>8112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2:26">
      <c r="B63" s="19" t="s">
        <v>46</v>
      </c>
      <c r="C63" s="7"/>
      <c r="D63" s="86">
        <v>0.13500000000000001</v>
      </c>
      <c r="E63" s="7"/>
      <c r="F63" s="29"/>
      <c r="G63" s="22"/>
      <c r="H63" s="1" t="s">
        <v>99</v>
      </c>
      <c r="I63" s="42">
        <v>0.03</v>
      </c>
      <c r="J63" s="1" t="s">
        <v>100</v>
      </c>
      <c r="M63" s="42">
        <v>0.03</v>
      </c>
      <c r="N63" s="1" t="s">
        <v>100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2:26">
      <c r="B64" s="19" t="s">
        <v>47</v>
      </c>
      <c r="C64" s="7"/>
      <c r="D64" s="87">
        <v>0.09</v>
      </c>
      <c r="E64" s="7"/>
      <c r="F64" s="29"/>
      <c r="G64" s="22"/>
      <c r="H64" s="1" t="s">
        <v>101</v>
      </c>
      <c r="I64" s="5">
        <f>I62*I63</f>
        <v>201.23999999999998</v>
      </c>
      <c r="M64" s="5">
        <f>M62*M63</f>
        <v>243.35999999999999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2:26">
      <c r="B65" s="19"/>
      <c r="C65" s="7"/>
      <c r="D65" s="7"/>
      <c r="E65" s="7"/>
      <c r="F65" s="29"/>
      <c r="G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2:26">
      <c r="B66" s="19" t="s">
        <v>48</v>
      </c>
      <c r="C66" s="7"/>
      <c r="D66" s="7"/>
      <c r="E66" s="7"/>
      <c r="F66" s="29"/>
      <c r="G66" s="22"/>
      <c r="H66" s="118" t="s">
        <v>102</v>
      </c>
      <c r="I66" s="118"/>
      <c r="J66" s="118"/>
      <c r="K66" s="118"/>
      <c r="L66" s="118"/>
      <c r="M66" s="118"/>
      <c r="N66" s="118"/>
      <c r="O66" s="118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ht="15.75" thickBot="1">
      <c r="B67" s="41" t="s">
        <v>49</v>
      </c>
      <c r="C67" s="101"/>
      <c r="D67" s="34"/>
      <c r="E67" s="34"/>
      <c r="F67" s="37"/>
      <c r="H67" s="111" t="s">
        <v>103</v>
      </c>
      <c r="I67" s="111"/>
      <c r="J67" s="111"/>
      <c r="K67" s="111"/>
      <c r="L67" s="111"/>
      <c r="M67" s="111"/>
      <c r="N67" s="111"/>
      <c r="O67" s="111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>
      <c r="H68" s="111" t="s">
        <v>104</v>
      </c>
      <c r="I68" s="111"/>
      <c r="J68" s="111"/>
      <c r="K68" s="111"/>
      <c r="L68" s="111"/>
      <c r="M68" s="111"/>
      <c r="N68" s="111"/>
      <c r="O68" s="111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>
      <c r="H69" s="111" t="s">
        <v>105</v>
      </c>
      <c r="I69" s="111"/>
      <c r="J69" s="111"/>
      <c r="K69" s="111"/>
      <c r="L69" s="111"/>
      <c r="M69" s="111"/>
      <c r="N69" s="111"/>
      <c r="O69" s="11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2:26">
      <c r="H70" s="111" t="s">
        <v>106</v>
      </c>
      <c r="I70" s="111"/>
      <c r="J70" s="111"/>
      <c r="K70" s="111"/>
      <c r="L70" s="111"/>
      <c r="M70" s="111"/>
      <c r="N70" s="111"/>
      <c r="O70" s="11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2:26">
      <c r="H71" s="111" t="s">
        <v>107</v>
      </c>
      <c r="I71" s="111"/>
      <c r="J71" s="111"/>
      <c r="K71" s="111"/>
      <c r="L71" s="111"/>
      <c r="M71" s="111"/>
      <c r="N71" s="111"/>
      <c r="O71" s="111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2:26">
      <c r="H72" s="47"/>
      <c r="I72" s="47"/>
      <c r="J72" s="47"/>
      <c r="K72" s="47"/>
      <c r="L72" s="47"/>
      <c r="M72" s="47"/>
      <c r="N72" s="47"/>
      <c r="O72" s="47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2:26">
      <c r="H73" s="2" t="s">
        <v>102</v>
      </c>
      <c r="I73" s="3" t="s">
        <v>108</v>
      </c>
      <c r="J73" s="61" t="s">
        <v>109</v>
      </c>
      <c r="K73" s="3" t="s">
        <v>82</v>
      </c>
      <c r="L73" s="3"/>
      <c r="O73" s="111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2:26">
      <c r="H74" s="1" t="s">
        <v>110</v>
      </c>
      <c r="I74" s="12">
        <v>89000</v>
      </c>
      <c r="J74" s="49">
        <f>I74/'Background Calcs - Hidden'!$I$12</f>
        <v>1453.453237410072</v>
      </c>
      <c r="K74" s="111" t="s">
        <v>111</v>
      </c>
      <c r="L74" s="111"/>
      <c r="M74" s="111"/>
      <c r="N74" s="111"/>
      <c r="O74" s="111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2:26">
      <c r="H75" s="13" t="s">
        <v>112</v>
      </c>
      <c r="I75" s="12">
        <v>120000</v>
      </c>
      <c r="J75" s="49">
        <f>I75/'Background Calcs - Hidden'!$I$12</f>
        <v>1959.7122302158275</v>
      </c>
      <c r="K75" s="111" t="s">
        <v>113</v>
      </c>
      <c r="L75" s="111"/>
      <c r="M75" s="111"/>
      <c r="N75" s="111"/>
      <c r="O75" s="111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2:26">
      <c r="H76" s="1" t="s">
        <v>114</v>
      </c>
      <c r="I76" s="12">
        <v>96000</v>
      </c>
      <c r="J76" s="49">
        <f>I76/'Background Calcs - Hidden'!$I$12</f>
        <v>1567.769784172662</v>
      </c>
      <c r="K76" s="111" t="s">
        <v>115</v>
      </c>
      <c r="L76" s="111"/>
      <c r="M76" s="111"/>
      <c r="N76" s="111"/>
      <c r="O76" s="111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2:26">
      <c r="H77" s="1" t="s">
        <v>116</v>
      </c>
      <c r="I77" s="12">
        <v>168000</v>
      </c>
      <c r="J77" s="49">
        <f>I77/'Background Calcs - Hidden'!$I$12</f>
        <v>2743.5971223021584</v>
      </c>
      <c r="K77" s="111" t="s">
        <v>117</v>
      </c>
      <c r="L77" s="111"/>
      <c r="M77" s="111"/>
      <c r="N77" s="111"/>
      <c r="O77" s="111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2:26">
      <c r="H78" s="1" t="s">
        <v>118</v>
      </c>
      <c r="I78" s="12">
        <v>140000</v>
      </c>
      <c r="J78" s="49">
        <f>I78/'Background Calcs - Hidden'!$I$12</f>
        <v>2286.3309352517986</v>
      </c>
      <c r="K78" s="111" t="s">
        <v>119</v>
      </c>
      <c r="L78" s="111"/>
      <c r="M78" s="111"/>
      <c r="N78" s="111"/>
      <c r="O78" s="111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2:26">
      <c r="H79" s="1" t="s">
        <v>120</v>
      </c>
      <c r="I79" s="14"/>
      <c r="J79" s="50">
        <f>I79/'Background Calcs - Hidden'!$I$12</f>
        <v>0</v>
      </c>
      <c r="K79" s="111" t="s">
        <v>121</v>
      </c>
      <c r="L79" s="111"/>
      <c r="M79" s="111"/>
      <c r="N79" s="111"/>
      <c r="O79" s="111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2:26">
      <c r="I80" s="15">
        <f>SUM(I74:I79)</f>
        <v>613000</v>
      </c>
      <c r="J80" s="48">
        <f>SUM(J74:J79)</f>
        <v>10010.863309352519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8:26"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8:26">
      <c r="H82" s="1" t="s">
        <v>122</v>
      </c>
      <c r="I82" s="8">
        <v>365</v>
      </c>
      <c r="P82" s="22"/>
      <c r="Q82" s="22"/>
      <c r="R82" s="22"/>
      <c r="S82" s="22"/>
      <c r="T82" s="22"/>
      <c r="U82" s="22"/>
    </row>
    <row r="84" spans="8:26">
      <c r="H84" s="1" t="s">
        <v>123</v>
      </c>
      <c r="I84" s="12">
        <v>1115</v>
      </c>
    </row>
    <row r="85" spans="8:26">
      <c r="H85" s="1" t="s">
        <v>124</v>
      </c>
      <c r="I85" s="92">
        <f>I84/J80</f>
        <v>0.11137900554074349</v>
      </c>
    </row>
    <row r="124" spans="5:7">
      <c r="E124" s="22"/>
      <c r="F124" s="10"/>
      <c r="G124" s="22"/>
    </row>
    <row r="125" spans="5:7">
      <c r="E125" s="22"/>
      <c r="F125" s="10"/>
      <c r="G125" s="22"/>
    </row>
  </sheetData>
  <mergeCells count="26">
    <mergeCell ref="H39:O39"/>
    <mergeCell ref="M27:N27"/>
    <mergeCell ref="I27:J27"/>
    <mergeCell ref="I47:J47"/>
    <mergeCell ref="M47:N47"/>
    <mergeCell ref="H9:O9"/>
    <mergeCell ref="H10:O10"/>
    <mergeCell ref="H11:O11"/>
    <mergeCell ref="H12:O12"/>
    <mergeCell ref="H13:O13"/>
    <mergeCell ref="H66:O66"/>
    <mergeCell ref="B7:F7"/>
    <mergeCell ref="I1:O1"/>
    <mergeCell ref="H2:O2"/>
    <mergeCell ref="H3:O3"/>
    <mergeCell ref="H4:O4"/>
    <mergeCell ref="H5:O5"/>
    <mergeCell ref="H6:O6"/>
    <mergeCell ref="H7:O7"/>
    <mergeCell ref="D1:F1"/>
    <mergeCell ref="B2:F2"/>
    <mergeCell ref="B3:F3"/>
    <mergeCell ref="B4:F4"/>
    <mergeCell ref="B6:F6"/>
    <mergeCell ref="B5:F5"/>
    <mergeCell ref="H8:O8"/>
  </mergeCells>
  <hyperlinks>
    <hyperlink ref="B67" r:id="rId1" xr:uid="{00000000-0004-0000-0200-000000000000}"/>
  </hyperlinks>
  <pageMargins left="0.25" right="0.25" top="0.75" bottom="0.75" header="0.3" footer="0.3"/>
  <pageSetup paperSize="8" scale="74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  <pageSetUpPr fitToPage="1"/>
  </sheetPr>
  <dimension ref="A1:Z125"/>
  <sheetViews>
    <sheetView tabSelected="1" topLeftCell="A49" workbookViewId="0">
      <selection activeCell="G86" sqref="G86"/>
    </sheetView>
  </sheetViews>
  <sheetFormatPr defaultRowHeight="12.75"/>
  <cols>
    <col min="1" max="1" width="7" style="1" customWidth="1"/>
    <col min="2" max="2" width="58.28515625" style="1" customWidth="1"/>
    <col min="3" max="3" width="22" style="1" customWidth="1"/>
    <col min="4" max="4" width="17.28515625" style="1" customWidth="1"/>
    <col min="5" max="5" width="9.28515625" style="1" customWidth="1"/>
    <col min="6" max="6" width="17.28515625" style="1" customWidth="1"/>
    <col min="7" max="7" width="9.28515625" style="9" customWidth="1"/>
    <col min="8" max="8" width="58.7109375" style="1" customWidth="1"/>
    <col min="9" max="9" width="11.85546875" style="1" customWidth="1"/>
    <col min="10" max="10" width="10.7109375" style="1" customWidth="1"/>
    <col min="11" max="13" width="10.42578125" style="1" customWidth="1"/>
    <col min="14" max="14" width="11.85546875" style="1" bestFit="1" customWidth="1"/>
    <col min="15" max="15" width="10.42578125" style="1" customWidth="1"/>
    <col min="16" max="16" width="9.140625" style="1"/>
    <col min="17" max="17" width="10.7109375" style="1" bestFit="1" customWidth="1"/>
    <col min="18" max="16384" width="9.140625" style="1"/>
  </cols>
  <sheetData>
    <row r="1" spans="2:26" ht="97.5" customHeight="1">
      <c r="D1" s="117" t="s">
        <v>0</v>
      </c>
      <c r="E1" s="117"/>
      <c r="F1" s="117"/>
      <c r="G1" s="46"/>
      <c r="I1" s="124" t="s">
        <v>50</v>
      </c>
      <c r="J1" s="124"/>
      <c r="K1" s="124"/>
      <c r="L1" s="124"/>
      <c r="M1" s="124"/>
      <c r="N1" s="124"/>
      <c r="O1" s="124"/>
    </row>
    <row r="2" spans="2:26">
      <c r="B2" s="118" t="s">
        <v>1</v>
      </c>
      <c r="C2" s="118"/>
      <c r="D2" s="118"/>
      <c r="E2" s="118"/>
      <c r="F2" s="118"/>
      <c r="G2" s="35"/>
      <c r="H2" s="118" t="s">
        <v>1</v>
      </c>
      <c r="I2" s="118"/>
      <c r="J2" s="118"/>
      <c r="K2" s="118"/>
      <c r="L2" s="118"/>
      <c r="M2" s="118"/>
      <c r="N2" s="118"/>
      <c r="O2" s="118"/>
    </row>
    <row r="3" spans="2:26">
      <c r="B3" s="116" t="s">
        <v>2</v>
      </c>
      <c r="C3" s="116"/>
      <c r="D3" s="116"/>
      <c r="E3" s="116"/>
      <c r="F3" s="116"/>
      <c r="H3" s="114" t="s">
        <v>51</v>
      </c>
      <c r="I3" s="114"/>
      <c r="J3" s="114"/>
      <c r="K3" s="114"/>
      <c r="L3" s="114"/>
      <c r="M3" s="114"/>
      <c r="N3" s="114"/>
      <c r="O3" s="114"/>
    </row>
    <row r="4" spans="2:26">
      <c r="B4" s="115" t="s">
        <v>3</v>
      </c>
      <c r="C4" s="115"/>
      <c r="D4" s="115"/>
      <c r="E4" s="115"/>
      <c r="F4" s="115"/>
      <c r="H4" s="114" t="s">
        <v>52</v>
      </c>
      <c r="I4" s="114"/>
      <c r="J4" s="114"/>
      <c r="K4" s="114"/>
      <c r="L4" s="114"/>
      <c r="M4" s="114"/>
      <c r="N4" s="114"/>
      <c r="O4" s="114"/>
    </row>
    <row r="5" spans="2:26">
      <c r="B5" s="116" t="s">
        <v>4</v>
      </c>
      <c r="C5" s="116"/>
      <c r="D5" s="116"/>
      <c r="E5" s="116"/>
      <c r="F5" s="116"/>
      <c r="H5" s="123" t="s">
        <v>53</v>
      </c>
      <c r="I5" s="123"/>
      <c r="J5" s="123"/>
      <c r="K5" s="123"/>
      <c r="L5" s="123"/>
      <c r="M5" s="123"/>
      <c r="N5" s="123"/>
      <c r="O5" s="123"/>
    </row>
    <row r="6" spans="2:26">
      <c r="B6" s="114" t="s">
        <v>5</v>
      </c>
      <c r="C6" s="114"/>
      <c r="D6" s="114"/>
      <c r="E6" s="114"/>
      <c r="F6" s="114"/>
      <c r="G6" s="22"/>
      <c r="H6" s="116" t="s">
        <v>54</v>
      </c>
      <c r="I6" s="116"/>
      <c r="J6" s="116"/>
      <c r="K6" s="116"/>
      <c r="L6" s="116"/>
      <c r="M6" s="116"/>
      <c r="N6" s="116"/>
      <c r="O6" s="116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6">
      <c r="B7" s="114" t="s">
        <v>6</v>
      </c>
      <c r="C7" s="114"/>
      <c r="D7" s="114"/>
      <c r="E7" s="114"/>
      <c r="F7" s="114"/>
      <c r="G7" s="22"/>
      <c r="H7" s="114" t="s">
        <v>55</v>
      </c>
      <c r="I7" s="114"/>
      <c r="J7" s="114"/>
      <c r="K7" s="114"/>
      <c r="L7" s="114"/>
      <c r="M7" s="114"/>
      <c r="N7" s="114"/>
      <c r="O7" s="114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2:26" ht="13.5" thickBot="1">
      <c r="G8" s="22"/>
      <c r="H8" s="122"/>
      <c r="I8" s="122"/>
      <c r="J8" s="122"/>
      <c r="K8" s="122"/>
      <c r="L8" s="122"/>
      <c r="M8" s="122"/>
      <c r="N8" s="122"/>
      <c r="O8" s="1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2:26">
      <c r="B9" s="17"/>
      <c r="C9" s="18"/>
      <c r="D9" s="43" t="s">
        <v>7</v>
      </c>
      <c r="E9" s="18"/>
      <c r="F9" s="44" t="s">
        <v>7</v>
      </c>
      <c r="G9" s="22"/>
      <c r="H9" s="118" t="s">
        <v>56</v>
      </c>
      <c r="I9" s="118"/>
      <c r="J9" s="118"/>
      <c r="K9" s="118"/>
      <c r="L9" s="118"/>
      <c r="M9" s="118"/>
      <c r="N9" s="118"/>
      <c r="O9" s="118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2:26">
      <c r="B10" s="19"/>
      <c r="C10" s="7"/>
      <c r="D10" s="89" t="s">
        <v>8</v>
      </c>
      <c r="E10" s="45"/>
      <c r="F10" s="90" t="s">
        <v>9</v>
      </c>
      <c r="G10" s="51"/>
      <c r="H10" s="114" t="s">
        <v>57</v>
      </c>
      <c r="I10" s="114"/>
      <c r="J10" s="114"/>
      <c r="K10" s="114"/>
      <c r="L10" s="114"/>
      <c r="M10" s="114"/>
      <c r="N10" s="114"/>
      <c r="O10" s="114"/>
      <c r="P10" s="51"/>
      <c r="Q10" s="51"/>
      <c r="R10" s="22"/>
      <c r="S10" s="22"/>
      <c r="T10" s="22"/>
      <c r="U10" s="22"/>
      <c r="V10" s="22"/>
      <c r="W10" s="22"/>
      <c r="X10" s="22"/>
      <c r="Y10" s="22"/>
      <c r="Z10" s="22"/>
    </row>
    <row r="11" spans="2:26">
      <c r="B11" s="83" t="s">
        <v>10</v>
      </c>
      <c r="C11" s="97"/>
      <c r="D11" s="21"/>
      <c r="E11" s="22"/>
      <c r="F11" s="23"/>
      <c r="G11" s="22"/>
      <c r="H11" s="114" t="s">
        <v>58</v>
      </c>
      <c r="I11" s="114"/>
      <c r="J11" s="114"/>
      <c r="K11" s="114"/>
      <c r="L11" s="114"/>
      <c r="M11" s="114"/>
      <c r="N11" s="114"/>
      <c r="O11" s="114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>
      <c r="B12" s="19" t="s">
        <v>137</v>
      </c>
      <c r="C12" s="7"/>
      <c r="D12" s="4">
        <v>49.5</v>
      </c>
      <c r="E12" s="7"/>
      <c r="F12" s="24">
        <v>49.5</v>
      </c>
      <c r="G12" s="39"/>
      <c r="H12" s="114" t="s">
        <v>59</v>
      </c>
      <c r="I12" s="114"/>
      <c r="J12" s="114"/>
      <c r="K12" s="114"/>
      <c r="L12" s="114"/>
      <c r="M12" s="114"/>
      <c r="N12" s="114"/>
      <c r="O12" s="11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>
      <c r="B13" s="19" t="s">
        <v>12</v>
      </c>
      <c r="C13" s="7"/>
      <c r="D13" s="8">
        <v>80</v>
      </c>
      <c r="E13" s="7"/>
      <c r="F13" s="20">
        <v>80</v>
      </c>
      <c r="G13" s="22"/>
      <c r="H13" s="119" t="s">
        <v>60</v>
      </c>
      <c r="I13" s="119"/>
      <c r="J13" s="119"/>
      <c r="K13" s="119"/>
      <c r="L13" s="119"/>
      <c r="M13" s="119"/>
      <c r="N13" s="119"/>
      <c r="O13" s="119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>
      <c r="B14" s="19"/>
      <c r="C14" s="7"/>
      <c r="D14" s="21"/>
      <c r="E14" s="22"/>
      <c r="F14" s="23"/>
      <c r="G14" s="22"/>
      <c r="H14" s="112"/>
      <c r="I14" s="112"/>
      <c r="J14" s="112"/>
      <c r="K14" s="112"/>
      <c r="L14" s="112"/>
      <c r="M14" s="112"/>
      <c r="N14" s="112"/>
      <c r="O14" s="11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>
      <c r="B15" s="19" t="s">
        <v>138</v>
      </c>
      <c r="C15" s="7"/>
      <c r="D15" s="4">
        <v>55</v>
      </c>
      <c r="E15" s="7"/>
      <c r="F15" s="24">
        <v>55</v>
      </c>
      <c r="G15" s="39"/>
      <c r="L15" s="89" t="s">
        <v>8</v>
      </c>
      <c r="M15" s="45"/>
      <c r="N15" s="91" t="s">
        <v>9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>
      <c r="B16" s="19" t="s">
        <v>12</v>
      </c>
      <c r="C16" s="7"/>
      <c r="D16" s="8">
        <v>10</v>
      </c>
      <c r="E16" s="7"/>
      <c r="F16" s="20">
        <v>10</v>
      </c>
      <c r="G16" s="22"/>
      <c r="H16" s="2" t="s">
        <v>61</v>
      </c>
      <c r="I16" s="7"/>
      <c r="J16" s="7"/>
      <c r="K16" s="7"/>
      <c r="L16" s="73" t="s">
        <v>62</v>
      </c>
      <c r="M16" s="45"/>
      <c r="N16" s="73" t="s">
        <v>62</v>
      </c>
      <c r="O16" s="10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>
      <c r="B17" s="19"/>
      <c r="C17" s="7"/>
      <c r="D17" s="21"/>
      <c r="E17" s="22"/>
      <c r="F17" s="23"/>
      <c r="G17" s="22"/>
      <c r="H17" s="7" t="s">
        <v>63</v>
      </c>
      <c r="I17" s="7"/>
      <c r="J17" s="7"/>
      <c r="K17" s="7"/>
      <c r="L17" s="74">
        <v>350</v>
      </c>
      <c r="M17" s="7"/>
      <c r="N17" s="74">
        <v>350</v>
      </c>
      <c r="O17" s="10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>
      <c r="B18" s="19" t="s">
        <v>139</v>
      </c>
      <c r="C18" s="7"/>
      <c r="D18" s="4">
        <v>45</v>
      </c>
      <c r="E18" s="7"/>
      <c r="F18" s="24">
        <v>45</v>
      </c>
      <c r="G18" s="39"/>
      <c r="H18" s="7" t="s">
        <v>64</v>
      </c>
      <c r="I18" s="7"/>
      <c r="J18" s="7"/>
      <c r="K18" s="7"/>
      <c r="L18" s="74">
        <v>450</v>
      </c>
      <c r="M18" s="7"/>
      <c r="N18" s="74">
        <v>650</v>
      </c>
      <c r="O18" s="10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>
      <c r="B19" s="19" t="s">
        <v>12</v>
      </c>
      <c r="C19" s="7"/>
      <c r="D19" s="8">
        <v>6</v>
      </c>
      <c r="E19" s="7"/>
      <c r="F19" s="20">
        <v>6</v>
      </c>
      <c r="G19" s="22"/>
      <c r="H19" s="7" t="s">
        <v>65</v>
      </c>
      <c r="I19" s="7"/>
      <c r="J19" s="7"/>
      <c r="K19" s="7"/>
      <c r="L19" s="74">
        <v>0</v>
      </c>
      <c r="M19" s="7"/>
      <c r="N19" s="74">
        <v>0</v>
      </c>
      <c r="O19" s="1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>
      <c r="B20" s="19"/>
      <c r="C20" s="7"/>
      <c r="D20" s="21"/>
      <c r="E20" s="22"/>
      <c r="F20" s="23"/>
      <c r="G20" s="22"/>
      <c r="H20" s="7" t="s">
        <v>66</v>
      </c>
      <c r="I20" s="7"/>
      <c r="J20" s="7"/>
      <c r="K20" s="7"/>
      <c r="L20" s="74">
        <v>0</v>
      </c>
      <c r="M20" s="7"/>
      <c r="N20" s="74">
        <v>0</v>
      </c>
      <c r="O20" s="1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>
      <c r="B21" s="19" t="s">
        <v>128</v>
      </c>
      <c r="C21" s="7"/>
      <c r="D21" s="22">
        <f>D13+D16+D19</f>
        <v>96</v>
      </c>
      <c r="E21" s="22"/>
      <c r="F21" s="65">
        <f>F13+F16+F19</f>
        <v>96</v>
      </c>
      <c r="G21" s="22"/>
      <c r="H21" s="7" t="s">
        <v>67</v>
      </c>
      <c r="I21" s="7"/>
      <c r="J21" s="7"/>
      <c r="K21" s="7"/>
      <c r="L21" s="74">
        <v>0</v>
      </c>
      <c r="M21" s="7"/>
      <c r="N21" s="74">
        <v>0</v>
      </c>
      <c r="O21" s="10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>
      <c r="B22" s="19" t="s">
        <v>16</v>
      </c>
      <c r="C22" s="7"/>
      <c r="D22" s="25">
        <v>0.13500000000000001</v>
      </c>
      <c r="E22" s="7"/>
      <c r="F22" s="26">
        <v>0.13500000000000001</v>
      </c>
      <c r="G22" s="22"/>
      <c r="H22" s="7" t="s">
        <v>68</v>
      </c>
      <c r="I22" s="7"/>
      <c r="J22" s="7"/>
      <c r="K22" s="7"/>
      <c r="L22" s="74">
        <v>0</v>
      </c>
      <c r="M22" s="7"/>
      <c r="N22" s="74">
        <v>0</v>
      </c>
      <c r="O22" s="10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>
      <c r="B23" s="19"/>
      <c r="C23" s="7"/>
      <c r="D23" s="7"/>
      <c r="E23" s="7"/>
      <c r="F23" s="29"/>
      <c r="G23" s="22"/>
      <c r="H23" s="1" t="s">
        <v>69</v>
      </c>
      <c r="L23" s="75">
        <v>0</v>
      </c>
      <c r="N23" s="75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>
      <c r="B24" s="102" t="s">
        <v>17</v>
      </c>
      <c r="C24" s="103" t="s">
        <v>140</v>
      </c>
      <c r="D24" s="4">
        <v>0</v>
      </c>
      <c r="E24" s="7"/>
      <c r="F24" s="24">
        <v>25</v>
      </c>
      <c r="G24" s="39"/>
      <c r="L24" s="30">
        <f>SUM(L17:L23)</f>
        <v>800</v>
      </c>
      <c r="N24" s="30">
        <f>SUM(N17:N23)</f>
        <v>1000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>
      <c r="B25" s="36" t="s">
        <v>19</v>
      </c>
      <c r="C25" s="7"/>
      <c r="D25" s="25">
        <v>0</v>
      </c>
      <c r="E25" s="7"/>
      <c r="F25" s="26">
        <v>0.13500000000000001</v>
      </c>
      <c r="G25" s="22"/>
      <c r="H25" s="11"/>
      <c r="I25" s="11"/>
      <c r="J25" s="11"/>
      <c r="K25" s="11"/>
      <c r="L25" s="11"/>
      <c r="M25" s="11"/>
      <c r="N25" s="11"/>
      <c r="O25" s="11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>
      <c r="B26" s="36"/>
      <c r="C26" s="7"/>
      <c r="D26" s="27"/>
      <c r="E26" s="22"/>
      <c r="F26" s="28"/>
      <c r="G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>
      <c r="B27" s="102" t="s">
        <v>20</v>
      </c>
      <c r="C27" s="103" t="s">
        <v>141</v>
      </c>
      <c r="D27" s="4">
        <v>0</v>
      </c>
      <c r="E27" s="7"/>
      <c r="F27" s="24">
        <v>5.5</v>
      </c>
      <c r="G27" s="39"/>
      <c r="I27" s="120" t="s">
        <v>8</v>
      </c>
      <c r="J27" s="120"/>
      <c r="M27" s="121" t="s">
        <v>9</v>
      </c>
      <c r="N27" s="12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>
      <c r="B28" s="36" t="s">
        <v>19</v>
      </c>
      <c r="C28" s="7"/>
      <c r="D28" s="25">
        <v>0</v>
      </c>
      <c r="E28" s="7"/>
      <c r="F28" s="26">
        <v>0.23</v>
      </c>
      <c r="G28" s="22"/>
      <c r="J28" s="85" t="s">
        <v>70</v>
      </c>
      <c r="N28" s="85" t="s">
        <v>70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>
      <c r="B29" s="36"/>
      <c r="C29" s="7"/>
      <c r="D29" s="27"/>
      <c r="E29" s="22"/>
      <c r="F29" s="28"/>
      <c r="G29" s="22"/>
      <c r="H29" s="88" t="s">
        <v>71</v>
      </c>
      <c r="I29" s="61" t="s">
        <v>72</v>
      </c>
      <c r="J29" s="61" t="s">
        <v>73</v>
      </c>
      <c r="K29" s="61" t="s">
        <v>74</v>
      </c>
      <c r="M29" s="61" t="s">
        <v>72</v>
      </c>
      <c r="N29" s="61" t="s">
        <v>73</v>
      </c>
      <c r="O29" s="61" t="s">
        <v>74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>
      <c r="B30" s="36" t="s">
        <v>21</v>
      </c>
      <c r="C30" s="103" t="s">
        <v>142</v>
      </c>
      <c r="D30" s="4">
        <v>0</v>
      </c>
      <c r="E30" s="22"/>
      <c r="F30" s="24">
        <v>2000</v>
      </c>
      <c r="G30" s="22"/>
      <c r="H30" s="7" t="s">
        <v>63</v>
      </c>
      <c r="I30" s="59">
        <v>40</v>
      </c>
      <c r="J30" s="25">
        <v>0.15</v>
      </c>
      <c r="K30" s="5">
        <f>I30*J30</f>
        <v>6</v>
      </c>
      <c r="M30" s="59">
        <v>40</v>
      </c>
      <c r="N30" s="25">
        <v>0.15</v>
      </c>
      <c r="O30" s="5">
        <f>M30*N30</f>
        <v>6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>
      <c r="A31" s="9"/>
      <c r="B31" s="36" t="s">
        <v>19</v>
      </c>
      <c r="C31" s="7"/>
      <c r="D31" s="25">
        <v>0</v>
      </c>
      <c r="E31" s="22"/>
      <c r="F31" s="26">
        <v>0.09</v>
      </c>
      <c r="G31" s="22"/>
      <c r="H31" s="7" t="s">
        <v>64</v>
      </c>
      <c r="I31" s="59">
        <v>10</v>
      </c>
      <c r="J31" s="25">
        <v>0.2</v>
      </c>
      <c r="K31" s="5">
        <f t="shared" ref="K31:K36" si="0">I31*J31</f>
        <v>2</v>
      </c>
      <c r="M31" s="59">
        <v>35</v>
      </c>
      <c r="N31" s="25">
        <v>0.2</v>
      </c>
      <c r="O31" s="5">
        <f t="shared" ref="O31:O36" si="1">M31*N31</f>
        <v>7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>
      <c r="A32" s="9"/>
      <c r="B32" s="36"/>
      <c r="C32" s="7"/>
      <c r="D32" s="27"/>
      <c r="E32" s="22"/>
      <c r="F32" s="28"/>
      <c r="G32" s="39"/>
      <c r="H32" s="7" t="s">
        <v>65</v>
      </c>
      <c r="I32" s="59"/>
      <c r="J32" s="25"/>
      <c r="K32" s="5">
        <f t="shared" si="0"/>
        <v>0</v>
      </c>
      <c r="M32" s="59"/>
      <c r="N32" s="25"/>
      <c r="O32" s="5">
        <f t="shared" si="1"/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>
      <c r="A33" s="9"/>
      <c r="B33" s="36" t="s">
        <v>23</v>
      </c>
      <c r="C33" s="103" t="s">
        <v>143</v>
      </c>
      <c r="D33" s="4">
        <v>0</v>
      </c>
      <c r="E33" s="22"/>
      <c r="F33" s="24">
        <v>500</v>
      </c>
      <c r="G33" s="22"/>
      <c r="H33" s="7" t="s">
        <v>66</v>
      </c>
      <c r="I33" s="59"/>
      <c r="J33" s="25"/>
      <c r="K33" s="5">
        <f t="shared" si="0"/>
        <v>0</v>
      </c>
      <c r="M33" s="59"/>
      <c r="N33" s="25"/>
      <c r="O33" s="5">
        <f t="shared" si="1"/>
        <v>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>
      <c r="A34" s="9"/>
      <c r="B34" s="36" t="s">
        <v>19</v>
      </c>
      <c r="C34" s="7"/>
      <c r="D34" s="25">
        <v>0</v>
      </c>
      <c r="E34" s="22"/>
      <c r="F34" s="26">
        <v>0.13500000000000001</v>
      </c>
      <c r="G34" s="22"/>
      <c r="H34" s="7" t="s">
        <v>67</v>
      </c>
      <c r="I34" s="59"/>
      <c r="J34" s="25"/>
      <c r="K34" s="5">
        <f t="shared" si="0"/>
        <v>0</v>
      </c>
      <c r="M34" s="59"/>
      <c r="N34" s="25"/>
      <c r="O34" s="5">
        <f t="shared" si="1"/>
        <v>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>
      <c r="B35" s="19"/>
      <c r="C35" s="7"/>
      <c r="D35" s="7"/>
      <c r="E35" s="7"/>
      <c r="F35" s="29"/>
      <c r="G35" s="22"/>
      <c r="H35" s="7" t="s">
        <v>68</v>
      </c>
      <c r="I35" s="59"/>
      <c r="J35" s="25"/>
      <c r="K35" s="5">
        <f t="shared" si="0"/>
        <v>0</v>
      </c>
      <c r="M35" s="59"/>
      <c r="N35" s="25"/>
      <c r="O35" s="5">
        <f t="shared" si="1"/>
        <v>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>
      <c r="B36" s="36" t="s">
        <v>25</v>
      </c>
      <c r="C36" s="104"/>
      <c r="D36" s="4">
        <v>8</v>
      </c>
      <c r="E36" s="7"/>
      <c r="F36" s="24">
        <v>8</v>
      </c>
      <c r="G36" s="22"/>
      <c r="H36" s="1" t="s">
        <v>69</v>
      </c>
      <c r="I36" s="75"/>
      <c r="J36" s="76"/>
      <c r="K36" s="5">
        <f t="shared" si="0"/>
        <v>0</v>
      </c>
      <c r="M36" s="75"/>
      <c r="N36" s="76"/>
      <c r="O36" s="5">
        <f t="shared" si="1"/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>
      <c r="B37" s="19"/>
      <c r="C37" s="7"/>
      <c r="D37" s="7"/>
      <c r="E37" s="7"/>
      <c r="F37" s="29"/>
      <c r="G37" s="22"/>
      <c r="I37" s="16">
        <f>SUM(I30:I36)</f>
        <v>50</v>
      </c>
      <c r="J37" s="60">
        <f>K37/I37</f>
        <v>0.16</v>
      </c>
      <c r="K37" s="16">
        <f>SUM(K30:K36)</f>
        <v>8</v>
      </c>
      <c r="M37" s="16">
        <f>SUM(M30:M36)</f>
        <v>75</v>
      </c>
      <c r="N37" s="60">
        <f>O37/M37</f>
        <v>0.17333333333333334</v>
      </c>
      <c r="O37" s="16">
        <f>SUM(O30:O36)</f>
        <v>13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>
      <c r="B38" s="83" t="s">
        <v>26</v>
      </c>
      <c r="C38" s="97"/>
      <c r="D38" s="27"/>
      <c r="E38" s="22"/>
      <c r="F38" s="28"/>
      <c r="G38" s="52"/>
      <c r="P38" s="56"/>
      <c r="Q38" s="52"/>
      <c r="R38" s="39"/>
      <c r="S38" s="22"/>
      <c r="T38" s="22"/>
      <c r="U38" s="22"/>
      <c r="V38" s="22"/>
      <c r="W38" s="22"/>
      <c r="X38" s="22"/>
      <c r="Y38" s="22"/>
      <c r="Z38" s="22"/>
    </row>
    <row r="39" spans="1:26">
      <c r="B39" s="19" t="s">
        <v>27</v>
      </c>
      <c r="C39" s="7"/>
      <c r="D39" s="4">
        <f>6+15</f>
        <v>21</v>
      </c>
      <c r="E39" s="22"/>
      <c r="F39" s="24">
        <f>6+15</f>
        <v>21</v>
      </c>
      <c r="G39" s="39"/>
      <c r="H39" s="118" t="s">
        <v>75</v>
      </c>
      <c r="I39" s="118"/>
      <c r="J39" s="118"/>
      <c r="K39" s="118"/>
      <c r="L39" s="118"/>
      <c r="M39" s="118"/>
      <c r="N39" s="118"/>
      <c r="O39" s="118"/>
      <c r="P39" s="56"/>
      <c r="Q39" s="52"/>
      <c r="R39" s="39"/>
      <c r="S39" s="22"/>
      <c r="T39" s="22"/>
      <c r="U39" s="22"/>
      <c r="V39" s="22"/>
      <c r="W39" s="22"/>
      <c r="X39" s="22"/>
      <c r="Y39" s="22"/>
      <c r="Z39" s="22"/>
    </row>
    <row r="40" spans="1:26">
      <c r="B40" s="102" t="s">
        <v>28</v>
      </c>
      <c r="C40" s="105" t="str">
        <f>C24</f>
        <v>Dinner</v>
      </c>
      <c r="D40" s="4">
        <v>0</v>
      </c>
      <c r="E40" s="7"/>
      <c r="F40" s="24">
        <v>9.5</v>
      </c>
      <c r="G40" s="39"/>
      <c r="H40" s="112" t="s">
        <v>76</v>
      </c>
      <c r="I40" s="112"/>
      <c r="J40" s="112"/>
      <c r="K40" s="112"/>
      <c r="L40" s="112"/>
      <c r="M40" s="112"/>
      <c r="N40" s="112"/>
      <c r="O40" s="112"/>
      <c r="P40" s="56"/>
      <c r="Q40" s="52"/>
      <c r="R40" s="39"/>
      <c r="S40" s="22"/>
      <c r="T40" s="22"/>
      <c r="U40" s="22"/>
      <c r="V40" s="22"/>
      <c r="W40" s="22"/>
      <c r="X40" s="22"/>
      <c r="Y40" s="22"/>
      <c r="Z40" s="22"/>
    </row>
    <row r="41" spans="1:26">
      <c r="A41" s="9"/>
      <c r="B41" s="19" t="s">
        <v>29</v>
      </c>
      <c r="C41" s="105" t="str">
        <f>C27</f>
        <v>Wine with Dinner</v>
      </c>
      <c r="D41" s="4">
        <v>0</v>
      </c>
      <c r="E41" s="7"/>
      <c r="F41" s="24">
        <v>1.4</v>
      </c>
      <c r="G41" s="52"/>
      <c r="H41" s="111" t="s">
        <v>77</v>
      </c>
      <c r="I41" s="111"/>
      <c r="J41" s="111"/>
      <c r="K41" s="111"/>
      <c r="L41" s="111"/>
      <c r="M41" s="111"/>
      <c r="N41" s="111"/>
      <c r="O41" s="111"/>
      <c r="P41" s="56"/>
      <c r="Q41" s="52"/>
      <c r="R41" s="39"/>
      <c r="S41" s="22"/>
      <c r="T41" s="22"/>
      <c r="U41" s="22"/>
      <c r="V41" s="22"/>
      <c r="W41" s="22"/>
      <c r="X41" s="22"/>
      <c r="Y41" s="22"/>
      <c r="Z41" s="22"/>
    </row>
    <row r="42" spans="1:26">
      <c r="B42" s="19" t="s">
        <v>30</v>
      </c>
      <c r="C42" s="105" t="str">
        <f>C30</f>
        <v>40 golf @ €50pp</v>
      </c>
      <c r="D42" s="4">
        <v>0</v>
      </c>
      <c r="E42" s="7"/>
      <c r="F42" s="24">
        <v>1400</v>
      </c>
      <c r="G42" s="22"/>
      <c r="H42" s="111" t="s">
        <v>78</v>
      </c>
      <c r="I42" s="111"/>
      <c r="J42" s="111"/>
      <c r="K42" s="111"/>
      <c r="L42" s="111"/>
      <c r="M42" s="111"/>
      <c r="N42" s="111"/>
      <c r="O42" s="11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>
      <c r="B43" s="19" t="s">
        <v>31</v>
      </c>
      <c r="C43" s="105" t="str">
        <f>C33</f>
        <v>Evening Entertainment</v>
      </c>
      <c r="D43" s="4">
        <v>0</v>
      </c>
      <c r="E43" s="7"/>
      <c r="F43" s="24">
        <v>200</v>
      </c>
      <c r="G43" s="22"/>
      <c r="H43" s="112" t="s">
        <v>79</v>
      </c>
      <c r="I43" s="112"/>
      <c r="J43" s="112"/>
      <c r="K43" s="112"/>
      <c r="L43" s="112"/>
      <c r="M43" s="112"/>
      <c r="N43" s="112"/>
      <c r="O43" s="11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>
      <c r="B44" s="19" t="s">
        <v>32</v>
      </c>
      <c r="C44" s="7"/>
      <c r="D44" s="4">
        <v>1.5</v>
      </c>
      <c r="E44" s="7"/>
      <c r="F44" s="24">
        <v>1.5</v>
      </c>
      <c r="G44" s="22"/>
      <c r="H44" s="84" t="s">
        <v>80</v>
      </c>
      <c r="I44" s="84"/>
      <c r="J44" s="84"/>
      <c r="K44" s="84"/>
      <c r="L44" s="84"/>
      <c r="M44" s="84"/>
      <c r="N44" s="84"/>
      <c r="O44" s="84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>
      <c r="B45" s="19" t="s">
        <v>33</v>
      </c>
      <c r="C45" s="7"/>
      <c r="D45" s="25">
        <v>0.03</v>
      </c>
      <c r="E45" s="63"/>
      <c r="F45" s="26">
        <v>0.03</v>
      </c>
      <c r="G45" s="70"/>
      <c r="H45" s="84"/>
      <c r="I45" s="84"/>
      <c r="J45" s="84"/>
      <c r="K45" s="84"/>
      <c r="L45" s="84"/>
      <c r="M45" s="84"/>
      <c r="N45" s="84"/>
      <c r="O45" s="84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>
      <c r="B46" s="19" t="s">
        <v>34</v>
      </c>
      <c r="C46" s="7"/>
      <c r="D46" s="25">
        <v>0.16</v>
      </c>
      <c r="E46" s="63"/>
      <c r="F46" s="26">
        <v>0.17299999999999999</v>
      </c>
      <c r="G46" s="70"/>
      <c r="V46" s="22"/>
      <c r="W46" s="22"/>
      <c r="X46" s="22"/>
      <c r="Y46" s="22"/>
      <c r="Z46" s="22"/>
    </row>
    <row r="47" spans="1:26">
      <c r="B47" s="19" t="s">
        <v>35</v>
      </c>
      <c r="C47" s="7"/>
      <c r="D47" s="4">
        <v>800</v>
      </c>
      <c r="E47" s="7"/>
      <c r="F47" s="24">
        <v>1000</v>
      </c>
      <c r="G47" s="69"/>
      <c r="I47" s="120" t="s">
        <v>8</v>
      </c>
      <c r="J47" s="120"/>
      <c r="M47" s="121" t="s">
        <v>9</v>
      </c>
      <c r="N47" s="121"/>
      <c r="V47" s="22"/>
      <c r="W47" s="22"/>
      <c r="X47" s="22"/>
      <c r="Y47" s="22"/>
      <c r="Z47" s="22"/>
    </row>
    <row r="48" spans="1:26">
      <c r="B48" s="19" t="s">
        <v>36</v>
      </c>
      <c r="C48" s="7"/>
      <c r="D48" s="4">
        <v>1080</v>
      </c>
      <c r="E48" s="7"/>
      <c r="F48" s="24">
        <v>1080</v>
      </c>
      <c r="G48" s="68"/>
      <c r="H48" s="3" t="s">
        <v>81</v>
      </c>
      <c r="I48" s="3" t="s">
        <v>62</v>
      </c>
      <c r="J48" s="3" t="s">
        <v>82</v>
      </c>
      <c r="M48" s="3" t="s">
        <v>62</v>
      </c>
      <c r="N48" s="3" t="s">
        <v>82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2:26">
      <c r="B49" s="31"/>
      <c r="C49" s="98"/>
      <c r="D49" s="7"/>
      <c r="E49" s="7"/>
      <c r="F49" s="29"/>
      <c r="G49" s="68"/>
      <c r="H49" s="1" t="s">
        <v>144</v>
      </c>
      <c r="I49" s="4">
        <v>21</v>
      </c>
      <c r="J49" s="9" t="s">
        <v>134</v>
      </c>
      <c r="M49" s="4">
        <v>21</v>
      </c>
      <c r="N49" s="9" t="s">
        <v>134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2:26">
      <c r="B50" s="53" t="s">
        <v>37</v>
      </c>
      <c r="C50" s="51"/>
      <c r="D50" s="52">
        <f>'Background Calcs - Hidden'!O32/D21</f>
        <v>49.791666666666664</v>
      </c>
      <c r="E50" s="51"/>
      <c r="F50" s="54">
        <f>'Background Calcs - Hidden'!Q32/F21</f>
        <v>106.33333333333333</v>
      </c>
      <c r="G50" s="69"/>
      <c r="H50" s="1" t="s">
        <v>85</v>
      </c>
      <c r="I50" s="4"/>
      <c r="J50" s="9"/>
      <c r="M50" s="4">
        <v>9.5</v>
      </c>
      <c r="N50" s="9" t="s">
        <v>145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2:26">
      <c r="B51" s="36" t="s">
        <v>38</v>
      </c>
      <c r="C51" s="22"/>
      <c r="D51" s="10">
        <f>'Background Calcs - Hidden'!O34/D21</f>
        <v>51.869309838472837</v>
      </c>
      <c r="E51" s="22"/>
      <c r="F51" s="32">
        <f>'Background Calcs - Hidden'!Q34/F21</f>
        <v>102.06927606033931</v>
      </c>
      <c r="G51" s="68"/>
      <c r="H51" s="1" t="s">
        <v>87</v>
      </c>
      <c r="I51" s="4"/>
      <c r="J51" s="9"/>
      <c r="M51" s="4">
        <v>1.4</v>
      </c>
      <c r="N51" s="9" t="s">
        <v>130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>
      <c r="B52" s="36"/>
      <c r="C52" s="22"/>
      <c r="D52" s="39"/>
      <c r="E52" s="22"/>
      <c r="F52" s="55"/>
      <c r="G52" s="68"/>
      <c r="H52" s="9" t="s">
        <v>89</v>
      </c>
      <c r="I52" s="6">
        <v>1.5</v>
      </c>
      <c r="J52" s="9" t="s">
        <v>135</v>
      </c>
      <c r="M52" s="6">
        <v>1.5</v>
      </c>
      <c r="N52" s="9" t="s">
        <v>135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2:26">
      <c r="B53" s="19"/>
      <c r="C53" s="7"/>
      <c r="D53" s="22"/>
      <c r="E53" s="7"/>
      <c r="F53" s="65"/>
      <c r="G53" s="68"/>
      <c r="H53" s="1" t="s">
        <v>91</v>
      </c>
      <c r="I53" s="5">
        <f>SUM(I49:I52)</f>
        <v>22.5</v>
      </c>
      <c r="M53" s="5">
        <f>SUM(M49:M52)</f>
        <v>33.4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2:26">
      <c r="B54" s="53" t="s">
        <v>39</v>
      </c>
      <c r="C54" s="51"/>
      <c r="D54" s="52">
        <f>'Background Calcs - Hidden'!O33</f>
        <v>4211.4537444933922</v>
      </c>
      <c r="E54" s="22"/>
      <c r="F54" s="54">
        <f>'Background Calcs - Hidden'!Q33</f>
        <v>9030.6505017925738</v>
      </c>
      <c r="G54" s="68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>
      <c r="B55" s="53" t="s">
        <v>40</v>
      </c>
      <c r="C55" s="51"/>
      <c r="D55" s="52">
        <f>'Background Calcs - Hidden'!O34</f>
        <v>4979.4537444933922</v>
      </c>
      <c r="E55" s="22"/>
      <c r="F55" s="54">
        <f>'Background Calcs - Hidden'!Q34</f>
        <v>9798.6505017925738</v>
      </c>
      <c r="G55" s="71"/>
      <c r="H55" s="3" t="s">
        <v>92</v>
      </c>
      <c r="I55" s="3" t="s">
        <v>62</v>
      </c>
      <c r="J55" s="3" t="s">
        <v>82</v>
      </c>
      <c r="M55" s="3" t="s">
        <v>62</v>
      </c>
      <c r="N55" s="3" t="s">
        <v>82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>
      <c r="B56" s="36"/>
      <c r="C56" s="22"/>
      <c r="D56" s="39"/>
      <c r="E56" s="22"/>
      <c r="F56" s="55"/>
      <c r="G56" s="22"/>
      <c r="H56" s="1" t="s">
        <v>93</v>
      </c>
      <c r="I56" s="4"/>
      <c r="J56" s="9"/>
      <c r="M56" s="4">
        <v>1400</v>
      </c>
      <c r="N56" s="9" t="s">
        <v>146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>
      <c r="B57" s="31" t="s">
        <v>41</v>
      </c>
      <c r="C57" s="98"/>
      <c r="D57" s="63">
        <f>(D51-'Background Calcs - Hidden'!P59)/D51</f>
        <v>0.37741913908784658</v>
      </c>
      <c r="E57" s="63"/>
      <c r="F57" s="64">
        <f>(F51-'Background Calcs - Hidden'!R59)/F51</f>
        <v>0.30523019107940541</v>
      </c>
      <c r="G57" s="22"/>
      <c r="H57" s="1" t="s">
        <v>95</v>
      </c>
      <c r="I57" s="6"/>
      <c r="J57" s="9"/>
      <c r="M57" s="6">
        <v>200</v>
      </c>
      <c r="N57" s="9" t="s">
        <v>143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2:26">
      <c r="B58" s="31" t="s">
        <v>42</v>
      </c>
      <c r="C58" s="98"/>
      <c r="D58" s="49">
        <f>'Background Calcs - Hidden'!O62*D50</f>
        <v>4781.6757602087728</v>
      </c>
      <c r="E58" s="49"/>
      <c r="F58" s="108">
        <f>'Background Calcs - Hidden'!Q62*F50</f>
        <v>7099.213549284751</v>
      </c>
      <c r="G58" s="22"/>
      <c r="H58" s="1" t="s">
        <v>91</v>
      </c>
      <c r="I58" s="5">
        <f>SUM(I54:I57)</f>
        <v>0</v>
      </c>
      <c r="M58" s="5">
        <f>SUM(M54:M57)</f>
        <v>1600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2:26" ht="13.5" thickBot="1">
      <c r="B59" s="33" t="s">
        <v>43</v>
      </c>
      <c r="C59" s="99"/>
      <c r="D59" s="107">
        <f>D55-D47-D48-(D40*D21)-(D45*'Background Calcs - Hidden'!O32)-(D46*D55)-(D39*D21)-(D41*D21)-(D44*D21)-D42-D43</f>
        <v>-0.65885462555070262</v>
      </c>
      <c r="E59" s="107"/>
      <c r="F59" s="109">
        <f>F55-F47-F48-(F40*F21)-(F45*'Background Calcs - Hidden'!Q32)-(F46*F55)-(F39*F21)-(F41*F21)-(F44*F21)-F42-F43</f>
        <v>910.84396498245906</v>
      </c>
      <c r="G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2:26" ht="13.5" thickBot="1">
      <c r="G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2:26">
      <c r="B61" s="40" t="s">
        <v>44</v>
      </c>
      <c r="C61" s="100"/>
      <c r="D61" s="18"/>
      <c r="E61" s="18"/>
      <c r="F61" s="38"/>
      <c r="G61" s="22"/>
      <c r="H61" s="3" t="s">
        <v>97</v>
      </c>
      <c r="I61" s="3" t="s">
        <v>62</v>
      </c>
      <c r="J61" s="3" t="s">
        <v>82</v>
      </c>
      <c r="M61" s="3" t="s">
        <v>62</v>
      </c>
      <c r="N61" s="3" t="s">
        <v>82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2:26">
      <c r="B62" s="19" t="s">
        <v>45</v>
      </c>
      <c r="C62" s="7"/>
      <c r="D62" s="87">
        <v>0.23</v>
      </c>
      <c r="E62" s="7"/>
      <c r="F62" s="29"/>
      <c r="G62" s="22"/>
      <c r="H62" s="1" t="s">
        <v>98</v>
      </c>
      <c r="I62" s="113">
        <f>(D12*D13)+(D15*D16)+(D18*D19)+(D24*D21)+(D27*D21)+D30+D33</f>
        <v>4780</v>
      </c>
      <c r="J62" s="48"/>
      <c r="K62" s="48"/>
      <c r="L62" s="48"/>
      <c r="M62" s="113">
        <f>(F12*F13)+(F15*F16)+(F18*F19)+(F24*F21)+(F27*F21)+F30+F33</f>
        <v>10208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2:26">
      <c r="B63" s="19" t="s">
        <v>46</v>
      </c>
      <c r="C63" s="7"/>
      <c r="D63" s="86">
        <v>0.13500000000000001</v>
      </c>
      <c r="E63" s="7"/>
      <c r="F63" s="29"/>
      <c r="G63" s="22"/>
      <c r="H63" s="1" t="s">
        <v>99</v>
      </c>
      <c r="I63" s="42">
        <v>0.03</v>
      </c>
      <c r="J63" s="1" t="s">
        <v>100</v>
      </c>
      <c r="M63" s="42">
        <v>0.03</v>
      </c>
      <c r="N63" s="1" t="s">
        <v>100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2:26">
      <c r="B64" s="19" t="s">
        <v>47</v>
      </c>
      <c r="C64" s="7"/>
      <c r="D64" s="87">
        <v>0.09</v>
      </c>
      <c r="E64" s="7"/>
      <c r="F64" s="29"/>
      <c r="G64" s="22"/>
      <c r="H64" s="1" t="s">
        <v>101</v>
      </c>
      <c r="I64" s="5">
        <f>I62*I63</f>
        <v>143.4</v>
      </c>
      <c r="M64" s="5">
        <f>M62*M63</f>
        <v>306.24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2:26">
      <c r="B65" s="19"/>
      <c r="C65" s="7"/>
      <c r="D65" s="7"/>
      <c r="E65" s="7"/>
      <c r="F65" s="29"/>
      <c r="G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2:26">
      <c r="B66" s="19" t="s">
        <v>48</v>
      </c>
      <c r="C66" s="7"/>
      <c r="D66" s="7"/>
      <c r="E66" s="7"/>
      <c r="F66" s="29"/>
      <c r="G66" s="22"/>
      <c r="H66" s="118" t="s">
        <v>102</v>
      </c>
      <c r="I66" s="118"/>
      <c r="J66" s="118"/>
      <c r="K66" s="118"/>
      <c r="L66" s="118"/>
      <c r="M66" s="118"/>
      <c r="N66" s="118"/>
      <c r="O66" s="118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ht="15.75" thickBot="1">
      <c r="B67" s="41" t="s">
        <v>49</v>
      </c>
      <c r="C67" s="101"/>
      <c r="D67" s="34"/>
      <c r="E67" s="34"/>
      <c r="F67" s="37"/>
      <c r="H67" s="111" t="s">
        <v>103</v>
      </c>
      <c r="I67" s="111"/>
      <c r="J67" s="111"/>
      <c r="K67" s="111"/>
      <c r="L67" s="111"/>
      <c r="M67" s="111"/>
      <c r="N67" s="111"/>
      <c r="O67" s="111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>
      <c r="H68" s="111" t="s">
        <v>104</v>
      </c>
      <c r="I68" s="111"/>
      <c r="J68" s="111"/>
      <c r="K68" s="111"/>
      <c r="L68" s="111"/>
      <c r="M68" s="111"/>
      <c r="N68" s="111"/>
      <c r="O68" s="111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>
      <c r="H69" s="111" t="s">
        <v>105</v>
      </c>
      <c r="I69" s="111"/>
      <c r="J69" s="111"/>
      <c r="K69" s="111"/>
      <c r="L69" s="111"/>
      <c r="M69" s="111"/>
      <c r="N69" s="111"/>
      <c r="O69" s="11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2:26">
      <c r="H70" s="111" t="s">
        <v>106</v>
      </c>
      <c r="I70" s="111"/>
      <c r="J70" s="111"/>
      <c r="K70" s="111"/>
      <c r="L70" s="111"/>
      <c r="M70" s="111"/>
      <c r="N70" s="111"/>
      <c r="O70" s="11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2:26">
      <c r="H71" s="111" t="s">
        <v>107</v>
      </c>
      <c r="I71" s="111"/>
      <c r="J71" s="111"/>
      <c r="K71" s="111"/>
      <c r="L71" s="111"/>
      <c r="M71" s="111"/>
      <c r="N71" s="111"/>
      <c r="O71" s="111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2:26">
      <c r="H72" s="47"/>
      <c r="I72" s="47"/>
      <c r="J72" s="47"/>
      <c r="K72" s="47"/>
      <c r="L72" s="47"/>
      <c r="M72" s="47"/>
      <c r="N72" s="47"/>
      <c r="O72" s="47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2:26">
      <c r="H73" s="2" t="s">
        <v>102</v>
      </c>
      <c r="I73" s="3" t="s">
        <v>108</v>
      </c>
      <c r="J73" s="61" t="s">
        <v>109</v>
      </c>
      <c r="K73" s="3" t="s">
        <v>82</v>
      </c>
      <c r="L73" s="3"/>
      <c r="O73" s="111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2:26">
      <c r="H74" s="1" t="s">
        <v>110</v>
      </c>
      <c r="I74" s="12">
        <v>89000</v>
      </c>
      <c r="J74" s="49">
        <f>I74/'Background Calcs - Hidden'!$I$12</f>
        <v>1453.453237410072</v>
      </c>
      <c r="K74" s="111" t="s">
        <v>111</v>
      </c>
      <c r="L74" s="111"/>
      <c r="M74" s="111"/>
      <c r="N74" s="111"/>
      <c r="O74" s="111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2:26">
      <c r="H75" s="13" t="s">
        <v>112</v>
      </c>
      <c r="I75" s="12">
        <v>120000</v>
      </c>
      <c r="J75" s="49">
        <f>I75/'Background Calcs - Hidden'!$I$12</f>
        <v>1959.7122302158275</v>
      </c>
      <c r="K75" s="111" t="s">
        <v>113</v>
      </c>
      <c r="L75" s="111"/>
      <c r="M75" s="111"/>
      <c r="N75" s="111"/>
      <c r="O75" s="111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2:26">
      <c r="H76" s="1" t="s">
        <v>114</v>
      </c>
      <c r="I76" s="12">
        <v>96000</v>
      </c>
      <c r="J76" s="49">
        <f>I76/'Background Calcs - Hidden'!$I$12</f>
        <v>1567.769784172662</v>
      </c>
      <c r="K76" s="111" t="s">
        <v>115</v>
      </c>
      <c r="L76" s="111"/>
      <c r="M76" s="111"/>
      <c r="N76" s="111"/>
      <c r="O76" s="111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2:26">
      <c r="H77" s="1" t="s">
        <v>116</v>
      </c>
      <c r="I77" s="12">
        <v>168000</v>
      </c>
      <c r="J77" s="49">
        <f>I77/'Background Calcs - Hidden'!$I$12</f>
        <v>2743.5971223021584</v>
      </c>
      <c r="K77" s="111" t="s">
        <v>117</v>
      </c>
      <c r="L77" s="111"/>
      <c r="M77" s="111"/>
      <c r="N77" s="111"/>
      <c r="O77" s="111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2:26">
      <c r="H78" s="1" t="s">
        <v>118</v>
      </c>
      <c r="I78" s="12">
        <v>140000</v>
      </c>
      <c r="J78" s="49">
        <f>I78/'Background Calcs - Hidden'!$I$12</f>
        <v>2286.3309352517986</v>
      </c>
      <c r="K78" s="111" t="s">
        <v>119</v>
      </c>
      <c r="L78" s="111"/>
      <c r="M78" s="111"/>
      <c r="N78" s="111"/>
      <c r="O78" s="111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2:26">
      <c r="H79" s="1" t="s">
        <v>120</v>
      </c>
      <c r="I79" s="14"/>
      <c r="J79" s="50">
        <f>I79/'Background Calcs - Hidden'!$I$12</f>
        <v>0</v>
      </c>
      <c r="K79" s="111" t="s">
        <v>121</v>
      </c>
      <c r="L79" s="111"/>
      <c r="M79" s="111"/>
      <c r="N79" s="111"/>
      <c r="O79" s="111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2:26">
      <c r="I80" s="15">
        <f>SUM(I74:I79)</f>
        <v>613000</v>
      </c>
      <c r="J80" s="48">
        <f>SUM(J74:J79)</f>
        <v>10010.863309352519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8:26"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8:26">
      <c r="H82" s="1" t="s">
        <v>122</v>
      </c>
      <c r="I82" s="8">
        <v>365</v>
      </c>
      <c r="P82" s="22"/>
      <c r="Q82" s="22"/>
      <c r="R82" s="22"/>
      <c r="S82" s="22"/>
      <c r="T82" s="22"/>
      <c r="U82" s="22"/>
    </row>
    <row r="84" spans="8:26">
      <c r="H84" s="1" t="s">
        <v>123</v>
      </c>
      <c r="I84" s="12">
        <v>925</v>
      </c>
    </row>
    <row r="85" spans="8:26">
      <c r="H85" s="1" t="s">
        <v>124</v>
      </c>
      <c r="I85" s="92">
        <f>I84/J80</f>
        <v>9.2399623430661645E-2</v>
      </c>
    </row>
    <row r="124" spans="5:7">
      <c r="E124" s="22"/>
      <c r="F124" s="10"/>
      <c r="G124" s="22"/>
    </row>
    <row r="125" spans="5:7">
      <c r="E125" s="22"/>
      <c r="F125" s="10"/>
      <c r="G125" s="22"/>
    </row>
  </sheetData>
  <mergeCells count="26">
    <mergeCell ref="D1:F1"/>
    <mergeCell ref="I1:O1"/>
    <mergeCell ref="B2:F2"/>
    <mergeCell ref="H2:O2"/>
    <mergeCell ref="B3:F3"/>
    <mergeCell ref="H3:O3"/>
    <mergeCell ref="H11:O11"/>
    <mergeCell ref="B4:F4"/>
    <mergeCell ref="H4:O4"/>
    <mergeCell ref="B5:F5"/>
    <mergeCell ref="H5:O5"/>
    <mergeCell ref="B6:F6"/>
    <mergeCell ref="H6:O6"/>
    <mergeCell ref="B7:F7"/>
    <mergeCell ref="H7:O7"/>
    <mergeCell ref="H8:O8"/>
    <mergeCell ref="H9:O9"/>
    <mergeCell ref="H10:O10"/>
    <mergeCell ref="H66:O66"/>
    <mergeCell ref="H12:O12"/>
    <mergeCell ref="H13:O13"/>
    <mergeCell ref="I27:J27"/>
    <mergeCell ref="M27:N27"/>
    <mergeCell ref="I47:J47"/>
    <mergeCell ref="M47:N47"/>
    <mergeCell ref="H39:O39"/>
  </mergeCells>
  <hyperlinks>
    <hyperlink ref="B67" r:id="rId1" xr:uid="{00000000-0004-0000-0300-000000000000}"/>
  </hyperlinks>
  <pageMargins left="0.25" right="0.25" top="0.75" bottom="0.75" header="0.3" footer="0.3"/>
  <pageSetup paperSize="8" scale="65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R65"/>
  <sheetViews>
    <sheetView workbookViewId="0">
      <selection activeCell="B29" sqref="B29"/>
    </sheetView>
  </sheetViews>
  <sheetFormatPr defaultRowHeight="15"/>
  <cols>
    <col min="2" max="2" width="61.42578125" bestFit="1" customWidth="1"/>
    <col min="5" max="5" width="10.140625" bestFit="1" customWidth="1"/>
    <col min="8" max="8" width="61.42578125" bestFit="1" customWidth="1"/>
    <col min="11" max="11" width="10.140625" bestFit="1" customWidth="1"/>
    <col min="14" max="14" width="61.28515625" customWidth="1"/>
    <col min="17" max="17" width="10.140625" bestFit="1" customWidth="1"/>
  </cols>
  <sheetData>
    <row r="3" spans="2:18">
      <c r="B3" s="125" t="s">
        <v>147</v>
      </c>
      <c r="C3" s="125"/>
      <c r="D3" s="125"/>
      <c r="E3" s="125"/>
      <c r="F3" s="125"/>
      <c r="H3" s="126" t="s">
        <v>148</v>
      </c>
      <c r="I3" s="126"/>
      <c r="J3" s="126"/>
      <c r="K3" s="126"/>
      <c r="L3" s="126"/>
      <c r="N3" s="126" t="s">
        <v>149</v>
      </c>
      <c r="O3" s="126"/>
      <c r="P3" s="126"/>
      <c r="Q3" s="126"/>
      <c r="R3" s="126"/>
    </row>
    <row r="4" spans="2:18" ht="15.75" thickBot="1"/>
    <row r="5" spans="2:18">
      <c r="B5" s="40" t="s">
        <v>150</v>
      </c>
      <c r="C5" s="18"/>
      <c r="D5" s="18"/>
      <c r="E5" s="18"/>
      <c r="F5" s="77"/>
      <c r="H5" s="40" t="s">
        <v>150</v>
      </c>
      <c r="I5" s="18"/>
      <c r="J5" s="18"/>
      <c r="K5" s="18"/>
      <c r="L5" s="77"/>
      <c r="N5" s="40" t="s">
        <v>150</v>
      </c>
      <c r="O5" s="18"/>
      <c r="P5" s="18"/>
      <c r="Q5" s="18"/>
      <c r="R5" s="77"/>
    </row>
    <row r="6" spans="2:18">
      <c r="B6" s="19" t="s">
        <v>151</v>
      </c>
      <c r="C6" s="39">
        <f>'Pricing &amp; Breakeven Calculator'!D12</f>
        <v>0</v>
      </c>
      <c r="D6" s="10"/>
      <c r="E6" s="39">
        <f>'Pricing &amp; Breakeven Calculator'!F12</f>
        <v>0</v>
      </c>
      <c r="F6" s="32"/>
      <c r="H6" s="19" t="s">
        <v>151</v>
      </c>
      <c r="I6" s="39">
        <f>'Video Example'!D12</f>
        <v>69.5</v>
      </c>
      <c r="J6" s="10"/>
      <c r="K6" s="39">
        <f>'Video Example'!F12</f>
        <v>69.5</v>
      </c>
      <c r="L6" s="32"/>
      <c r="N6" s="19" t="s">
        <v>151</v>
      </c>
      <c r="O6" s="39">
        <f>Example!D12</f>
        <v>49.5</v>
      </c>
      <c r="P6" s="10"/>
      <c r="Q6" s="39">
        <f>Example!F12</f>
        <v>49.5</v>
      </c>
      <c r="R6" s="32"/>
    </row>
    <row r="7" spans="2:18">
      <c r="B7" s="19" t="s">
        <v>152</v>
      </c>
      <c r="C7" s="39">
        <f>'Pricing &amp; Breakeven Calculator'!D15</f>
        <v>0</v>
      </c>
      <c r="D7" s="10"/>
      <c r="E7" s="39">
        <f>'Pricing &amp; Breakeven Calculator'!F15</f>
        <v>0</v>
      </c>
      <c r="F7" s="32"/>
      <c r="H7" s="19" t="s">
        <v>152</v>
      </c>
      <c r="I7" s="39">
        <f>'Video Example'!D15</f>
        <v>75.5</v>
      </c>
      <c r="J7" s="10"/>
      <c r="K7" s="39">
        <f>'Video Example'!F15</f>
        <v>75.5</v>
      </c>
      <c r="L7" s="32"/>
      <c r="N7" s="19" t="s">
        <v>152</v>
      </c>
      <c r="O7" s="39">
        <f>Example!D15</f>
        <v>55</v>
      </c>
      <c r="P7" s="10"/>
      <c r="Q7" s="39">
        <f>Example!F15</f>
        <v>55</v>
      </c>
      <c r="R7" s="32"/>
    </row>
    <row r="8" spans="2:18">
      <c r="B8" s="19" t="s">
        <v>153</v>
      </c>
      <c r="C8" s="39">
        <f>'Pricing &amp; Breakeven Calculator'!D18</f>
        <v>0</v>
      </c>
      <c r="D8" s="10"/>
      <c r="E8" s="39">
        <f>'Pricing &amp; Breakeven Calculator'!F18</f>
        <v>0</v>
      </c>
      <c r="F8" s="32"/>
      <c r="H8" s="19" t="s">
        <v>153</v>
      </c>
      <c r="I8" s="39">
        <f>'Video Example'!D18</f>
        <v>65.5</v>
      </c>
      <c r="J8" s="10"/>
      <c r="K8" s="39">
        <f>'Video Example'!F18</f>
        <v>65.5</v>
      </c>
      <c r="L8" s="32"/>
      <c r="N8" s="19" t="s">
        <v>153</v>
      </c>
      <c r="O8" s="39">
        <f>Example!D18</f>
        <v>45</v>
      </c>
      <c r="P8" s="10"/>
      <c r="Q8" s="39">
        <f>Example!F18</f>
        <v>45</v>
      </c>
      <c r="R8" s="32"/>
    </row>
    <row r="9" spans="2:18">
      <c r="B9" s="19" t="s">
        <v>154</v>
      </c>
      <c r="C9" s="56">
        <f>'Pricing &amp; Breakeven Calculator'!D21</f>
        <v>0</v>
      </c>
      <c r="D9" s="10"/>
      <c r="E9" s="56">
        <f>'Pricing &amp; Breakeven Calculator'!F21</f>
        <v>0</v>
      </c>
      <c r="F9" s="32"/>
      <c r="H9" s="19" t="s">
        <v>154</v>
      </c>
      <c r="I9" s="56">
        <f>'Video Example'!D21</f>
        <v>96</v>
      </c>
      <c r="J9" s="10"/>
      <c r="K9" s="56">
        <f>'Video Example'!F21</f>
        <v>96</v>
      </c>
      <c r="L9" s="32"/>
      <c r="N9" s="19" t="s">
        <v>154</v>
      </c>
      <c r="O9" s="56">
        <f>Example!D21</f>
        <v>96</v>
      </c>
      <c r="P9" s="10"/>
      <c r="Q9" s="56">
        <f>Example!F21</f>
        <v>96</v>
      </c>
      <c r="R9" s="32"/>
    </row>
    <row r="10" spans="2:18">
      <c r="B10" s="19" t="s">
        <v>155</v>
      </c>
      <c r="C10" s="39" t="e">
        <f>(('Pricing &amp; Breakeven Calculator'!D12*'Pricing &amp; Breakeven Calculator'!D13)+('Pricing &amp; Breakeven Calculator'!D15*'Pricing &amp; Breakeven Calculator'!D16)+('Pricing &amp; Breakeven Calculator'!D18*'Pricing &amp; Breakeven Calculator'!D19))/'Pricing &amp; Breakeven Calculator'!D21</f>
        <v>#DIV/0!</v>
      </c>
      <c r="D10" s="10"/>
      <c r="E10" s="39" t="e">
        <f>(('Pricing &amp; Breakeven Calculator'!F12*'Pricing &amp; Breakeven Calculator'!F13)+('Pricing &amp; Breakeven Calculator'!F15*'Pricing &amp; Breakeven Calculator'!F16)+('Pricing &amp; Breakeven Calculator'!F18*'Pricing &amp; Breakeven Calculator'!F19))/'Pricing &amp; Breakeven Calculator'!F21</f>
        <v>#DIV/0!</v>
      </c>
      <c r="F10" s="32"/>
      <c r="H10" s="19" t="s">
        <v>155</v>
      </c>
      <c r="I10" s="39">
        <f>(('Video Example'!D12*'Video Example'!D13)+('Video Example'!D15*'Video Example'!D16)+('Video Example'!D18*'Video Example'!D19))/'Video Example'!D21</f>
        <v>69.875</v>
      </c>
      <c r="J10" s="10"/>
      <c r="K10" s="39">
        <f>(('Video Example'!F12*'Video Example'!F13)+('Video Example'!F15*'Video Example'!F16)+('Video Example'!F18*'Video Example'!F19))/'Video Example'!F21</f>
        <v>69.875</v>
      </c>
      <c r="L10" s="32"/>
      <c r="N10" s="19" t="s">
        <v>155</v>
      </c>
      <c r="O10" s="39">
        <f>((Example!D12*Example!D13)+(Example!D15*Example!D16)+(Example!D18*Example!D19))/Example!D21</f>
        <v>49.791666666666664</v>
      </c>
      <c r="P10" s="10"/>
      <c r="Q10" s="39">
        <f>((Example!F12*Example!F13)+(Example!F15*Example!F16)+(Example!F18*Example!F19))/Example!F21</f>
        <v>49.791666666666664</v>
      </c>
      <c r="R10" s="32"/>
    </row>
    <row r="11" spans="2:18">
      <c r="B11" s="19"/>
      <c r="C11" s="7"/>
      <c r="D11" s="7"/>
      <c r="E11" s="7"/>
      <c r="F11" s="29"/>
      <c r="H11" s="19"/>
      <c r="I11" s="7"/>
      <c r="J11" s="7"/>
      <c r="K11" s="7"/>
      <c r="L11" s="29"/>
      <c r="N11" s="19"/>
      <c r="O11" s="7"/>
      <c r="P11" s="7"/>
      <c r="Q11" s="7"/>
      <c r="R11" s="29"/>
    </row>
    <row r="12" spans="2:18">
      <c r="B12" s="19" t="s">
        <v>156</v>
      </c>
      <c r="C12" s="39">
        <f>('Pricing &amp; Breakeven Calculator'!D12/(1+'Pricing &amp; Breakeven Calculator'!D22))</f>
        <v>0</v>
      </c>
      <c r="D12" s="10"/>
      <c r="E12" s="39">
        <f>('Pricing &amp; Breakeven Calculator'!F12/(1+'Pricing &amp; Breakeven Calculator'!F22))</f>
        <v>0</v>
      </c>
      <c r="F12" s="32"/>
      <c r="H12" s="19" t="s">
        <v>156</v>
      </c>
      <c r="I12" s="39">
        <f>('Video Example'!D12/(1+'Video Example'!D22))</f>
        <v>61.233480176211451</v>
      </c>
      <c r="J12" s="10"/>
      <c r="K12" s="39">
        <f>('Video Example'!F12/(1+'Video Example'!F22))</f>
        <v>61.233480176211451</v>
      </c>
      <c r="L12" s="32"/>
      <c r="N12" s="19" t="s">
        <v>156</v>
      </c>
      <c r="O12" s="39">
        <f>(Example!D12/(1+Example!D22))</f>
        <v>43.612334801762117</v>
      </c>
      <c r="P12" s="10"/>
      <c r="Q12" s="39">
        <f>(Example!F12/(1+Example!F22))</f>
        <v>43.612334801762117</v>
      </c>
      <c r="R12" s="32"/>
    </row>
    <row r="13" spans="2:18">
      <c r="B13" s="19" t="s">
        <v>157</v>
      </c>
      <c r="C13" s="39">
        <f>('Pricing &amp; Breakeven Calculator'!D15/(1+'Pricing &amp; Breakeven Calculator'!D22))</f>
        <v>0</v>
      </c>
      <c r="D13" s="10"/>
      <c r="E13" s="39">
        <f>('Pricing &amp; Breakeven Calculator'!F15/(1+'Pricing &amp; Breakeven Calculator'!F22))</f>
        <v>0</v>
      </c>
      <c r="F13" s="32"/>
      <c r="H13" s="19" t="s">
        <v>157</v>
      </c>
      <c r="I13" s="39">
        <f>('Video Example'!D15/(1+'Video Example'!D22))</f>
        <v>66.519823788546262</v>
      </c>
      <c r="J13" s="10"/>
      <c r="K13" s="39">
        <f>('Video Example'!F15/(1+'Video Example'!F22))</f>
        <v>66.519823788546262</v>
      </c>
      <c r="L13" s="32"/>
      <c r="N13" s="19" t="s">
        <v>157</v>
      </c>
      <c r="O13" s="39">
        <f>(Example!D15/(1+Example!D22))</f>
        <v>48.458149779735685</v>
      </c>
      <c r="P13" s="10"/>
      <c r="Q13" s="39">
        <f>(Example!F15/(1+Example!F22))</f>
        <v>48.458149779735685</v>
      </c>
      <c r="R13" s="32"/>
    </row>
    <row r="14" spans="2:18">
      <c r="B14" s="19" t="s">
        <v>158</v>
      </c>
      <c r="C14" s="39">
        <f>('Pricing &amp; Breakeven Calculator'!D18/(1+'Pricing &amp; Breakeven Calculator'!D22))</f>
        <v>0</v>
      </c>
      <c r="D14" s="10"/>
      <c r="E14" s="39">
        <f>('Pricing &amp; Breakeven Calculator'!F18/(1+'Pricing &amp; Breakeven Calculator'!F22))</f>
        <v>0</v>
      </c>
      <c r="F14" s="32"/>
      <c r="H14" s="19" t="s">
        <v>158</v>
      </c>
      <c r="I14" s="39">
        <f>('Video Example'!D18/(1+'Video Example'!D22))</f>
        <v>57.709251101321584</v>
      </c>
      <c r="J14" s="10"/>
      <c r="K14" s="39">
        <f>('Video Example'!F18/(1+'Video Example'!F22))</f>
        <v>57.709251101321584</v>
      </c>
      <c r="L14" s="32"/>
      <c r="N14" s="19" t="s">
        <v>158</v>
      </c>
      <c r="O14" s="39">
        <f>(Example!D18/(1+Example!D22))</f>
        <v>39.647577092511014</v>
      </c>
      <c r="P14" s="10"/>
      <c r="Q14" s="39">
        <f>(Example!F18/(1+Example!F22))</f>
        <v>39.647577092511014</v>
      </c>
      <c r="R14" s="32"/>
    </row>
    <row r="15" spans="2:18">
      <c r="B15" s="19" t="s">
        <v>154</v>
      </c>
      <c r="C15" s="56">
        <f>'Pricing &amp; Breakeven Calculator'!D21</f>
        <v>0</v>
      </c>
      <c r="D15" s="10"/>
      <c r="E15" s="56">
        <f>'Pricing &amp; Breakeven Calculator'!F21</f>
        <v>0</v>
      </c>
      <c r="F15" s="32"/>
      <c r="H15" s="19" t="s">
        <v>154</v>
      </c>
      <c r="I15" s="56">
        <f>'Video Example'!D21</f>
        <v>96</v>
      </c>
      <c r="J15" s="10"/>
      <c r="K15" s="56">
        <f>'Video Example'!F21</f>
        <v>96</v>
      </c>
      <c r="L15" s="32"/>
      <c r="N15" s="19" t="s">
        <v>154</v>
      </c>
      <c r="O15" s="56">
        <f>Example!D21</f>
        <v>96</v>
      </c>
      <c r="P15" s="10"/>
      <c r="Q15" s="56">
        <f>Example!F21</f>
        <v>96</v>
      </c>
      <c r="R15" s="32"/>
    </row>
    <row r="16" spans="2:18">
      <c r="B16" s="19" t="s">
        <v>159</v>
      </c>
      <c r="C16" s="39" t="e">
        <f>((C12*'Pricing &amp; Breakeven Calculator'!D13)+(C13*'Pricing &amp; Breakeven Calculator'!D16)+(C14*'Pricing &amp; Breakeven Calculator'!D19))/'Pricing &amp; Breakeven Calculator'!D21</f>
        <v>#DIV/0!</v>
      </c>
      <c r="D16" s="10"/>
      <c r="E16" s="39" t="e">
        <f>((E12*'Pricing &amp; Breakeven Calculator'!F13)+(E13*'Pricing &amp; Breakeven Calculator'!F16)+(E14*'Pricing &amp; Breakeven Calculator'!F19))/'Pricing &amp; Breakeven Calculator'!F21</f>
        <v>#DIV/0!</v>
      </c>
      <c r="F16" s="32"/>
      <c r="H16" s="19" t="s">
        <v>159</v>
      </c>
      <c r="I16" s="39">
        <f>((I12*'Video Example'!D13)+(I13*'Video Example'!D16)+(I14*'Video Example'!D19))/'Video Example'!D21</f>
        <v>61.563876651982376</v>
      </c>
      <c r="J16" s="10"/>
      <c r="K16" s="39">
        <f>((K12*'Video Example'!F13)+(K13*'Video Example'!F16)+(K14*'Video Example'!F19))/'Video Example'!F21</f>
        <v>61.563876651982376</v>
      </c>
      <c r="L16" s="32"/>
      <c r="N16" s="19" t="s">
        <v>159</v>
      </c>
      <c r="O16" s="39">
        <f>((O12*Example!D13)+(O13*Example!D16)+(O14*Example!D19))/Example!D21</f>
        <v>43.869309838472837</v>
      </c>
      <c r="P16" s="10"/>
      <c r="Q16" s="39">
        <f>((Q12*Example!F13)+(Q13*Example!F16)+(Q14*Example!F19))/Example!F21</f>
        <v>43.869309838472837</v>
      </c>
      <c r="R16" s="32"/>
    </row>
    <row r="17" spans="2:18">
      <c r="B17" s="19"/>
      <c r="C17" s="7"/>
      <c r="D17" s="7"/>
      <c r="E17" s="7"/>
      <c r="F17" s="29"/>
      <c r="H17" s="19"/>
      <c r="I17" s="7"/>
      <c r="J17" s="7"/>
      <c r="K17" s="7"/>
      <c r="L17" s="29"/>
      <c r="N17" s="19"/>
      <c r="O17" s="7"/>
      <c r="P17" s="7"/>
      <c r="Q17" s="7"/>
      <c r="R17" s="29"/>
    </row>
    <row r="18" spans="2:18">
      <c r="B18" s="19" t="s">
        <v>160</v>
      </c>
      <c r="C18" s="10">
        <f>'Pricing &amp; Breakeven Calculator'!D24</f>
        <v>0</v>
      </c>
      <c r="D18" s="7"/>
      <c r="E18" s="10">
        <f>'Pricing &amp; Breakeven Calculator'!F24</f>
        <v>0</v>
      </c>
      <c r="F18" s="29"/>
      <c r="H18" s="19" t="s">
        <v>160</v>
      </c>
      <c r="I18" s="10">
        <f>'Video Example'!D24</f>
        <v>0</v>
      </c>
      <c r="J18" s="7"/>
      <c r="K18" s="10">
        <f>'Video Example'!F24</f>
        <v>5.5</v>
      </c>
      <c r="L18" s="29"/>
      <c r="N18" s="19" t="s">
        <v>160</v>
      </c>
      <c r="O18" s="10">
        <f>Example!D24</f>
        <v>0</v>
      </c>
      <c r="P18" s="7"/>
      <c r="Q18" s="10">
        <f>Example!F24</f>
        <v>25</v>
      </c>
      <c r="R18" s="29"/>
    </row>
    <row r="19" spans="2:18">
      <c r="B19" s="19" t="s">
        <v>161</v>
      </c>
      <c r="C19" s="39">
        <f>'Pricing &amp; Breakeven Calculator'!D24/(1+'Pricing &amp; Breakeven Calculator'!D25)</f>
        <v>0</v>
      </c>
      <c r="D19" s="7"/>
      <c r="E19" s="39">
        <f>'Pricing &amp; Breakeven Calculator'!F24/(1+'Pricing &amp; Breakeven Calculator'!F25)</f>
        <v>0</v>
      </c>
      <c r="F19" s="29"/>
      <c r="H19" s="19" t="s">
        <v>161</v>
      </c>
      <c r="I19" s="39">
        <f>'Video Example'!D24/(1+'Video Example'!D25)</f>
        <v>0</v>
      </c>
      <c r="J19" s="7"/>
      <c r="K19" s="39">
        <f>'Video Example'!F24/(1+'Video Example'!F25)</f>
        <v>4.4715447154471546</v>
      </c>
      <c r="L19" s="29"/>
      <c r="N19" s="19" t="s">
        <v>161</v>
      </c>
      <c r="O19" s="39">
        <f>Example!D24/(1+Example!D25)</f>
        <v>0</v>
      </c>
      <c r="P19" s="7"/>
      <c r="Q19" s="39">
        <f>Example!F24/(1+Example!F25)</f>
        <v>22.026431718061673</v>
      </c>
      <c r="R19" s="29"/>
    </row>
    <row r="20" spans="2:18">
      <c r="B20" s="19" t="s">
        <v>154</v>
      </c>
      <c r="C20" s="56">
        <f>'Pricing &amp; Breakeven Calculator'!D21</f>
        <v>0</v>
      </c>
      <c r="D20" s="7"/>
      <c r="E20" s="56">
        <f>'Pricing &amp; Breakeven Calculator'!F21</f>
        <v>0</v>
      </c>
      <c r="F20" s="29"/>
      <c r="H20" s="19" t="s">
        <v>154</v>
      </c>
      <c r="I20" s="56">
        <f>'Video Example'!D21</f>
        <v>96</v>
      </c>
      <c r="J20" s="7"/>
      <c r="K20" s="56">
        <f>'Video Example'!F21</f>
        <v>96</v>
      </c>
      <c r="L20" s="29"/>
      <c r="N20" s="19" t="s">
        <v>154</v>
      </c>
      <c r="O20" s="56">
        <f>Example!D21</f>
        <v>96</v>
      </c>
      <c r="P20" s="7"/>
      <c r="Q20" s="56">
        <f>Example!F21</f>
        <v>96</v>
      </c>
      <c r="R20" s="29"/>
    </row>
    <row r="21" spans="2:18">
      <c r="B21" s="19"/>
      <c r="C21" s="10"/>
      <c r="D21" s="7"/>
      <c r="E21" s="10"/>
      <c r="F21" s="29"/>
      <c r="H21" s="19"/>
      <c r="I21" s="10"/>
      <c r="J21" s="7"/>
      <c r="K21" s="10"/>
      <c r="L21" s="29"/>
      <c r="N21" s="19"/>
      <c r="O21" s="10"/>
      <c r="P21" s="7"/>
      <c r="Q21" s="10"/>
      <c r="R21" s="29"/>
    </row>
    <row r="22" spans="2:18">
      <c r="B22" s="19" t="s">
        <v>162</v>
      </c>
      <c r="C22" s="10">
        <f>'Pricing &amp; Breakeven Calculator'!D27</f>
        <v>0</v>
      </c>
      <c r="D22" s="7"/>
      <c r="E22" s="10">
        <f>'Pricing &amp; Breakeven Calculator'!F27</f>
        <v>0</v>
      </c>
      <c r="F22" s="29"/>
      <c r="H22" s="19" t="s">
        <v>162</v>
      </c>
      <c r="I22" s="10">
        <f>'Video Example'!D27</f>
        <v>0</v>
      </c>
      <c r="J22" s="7"/>
      <c r="K22" s="10">
        <f>'Video Example'!F27</f>
        <v>6</v>
      </c>
      <c r="L22" s="29"/>
      <c r="N22" s="19" t="s">
        <v>162</v>
      </c>
      <c r="O22" s="10">
        <f>Example!D27</f>
        <v>0</v>
      </c>
      <c r="P22" s="7"/>
      <c r="Q22" s="10">
        <f>Example!F27</f>
        <v>5.5</v>
      </c>
      <c r="R22" s="29"/>
    </row>
    <row r="23" spans="2:18">
      <c r="B23" s="19" t="s">
        <v>163</v>
      </c>
      <c r="C23" s="39">
        <f>'Pricing &amp; Breakeven Calculator'!D27/(1+'Pricing &amp; Breakeven Calculator'!D28)</f>
        <v>0</v>
      </c>
      <c r="D23" s="7"/>
      <c r="E23" s="39">
        <f>'Pricing &amp; Breakeven Calculator'!F27/(1+'Pricing &amp; Breakeven Calculator'!F28)</f>
        <v>0</v>
      </c>
      <c r="F23" s="29"/>
      <c r="H23" s="19" t="s">
        <v>163</v>
      </c>
      <c r="I23" s="39">
        <f>'Video Example'!D27/(1+'Video Example'!D28)</f>
        <v>0</v>
      </c>
      <c r="J23" s="7"/>
      <c r="K23" s="39">
        <f>'Video Example'!F27/(1+'Video Example'!F28)</f>
        <v>5.286343612334802</v>
      </c>
      <c r="L23" s="29"/>
      <c r="N23" s="19" t="s">
        <v>163</v>
      </c>
      <c r="O23" s="39">
        <f>Example!D27/(1+Example!D28)</f>
        <v>0</v>
      </c>
      <c r="P23" s="7"/>
      <c r="Q23" s="39">
        <f>Example!F27/(1+Example!F28)</f>
        <v>4.4715447154471546</v>
      </c>
      <c r="R23" s="29"/>
    </row>
    <row r="24" spans="2:18">
      <c r="B24" s="19" t="s">
        <v>154</v>
      </c>
      <c r="C24" s="56">
        <f>'Pricing &amp; Breakeven Calculator'!D21</f>
        <v>0</v>
      </c>
      <c r="D24" s="7"/>
      <c r="E24" s="56">
        <f>'Pricing &amp; Breakeven Calculator'!F21</f>
        <v>0</v>
      </c>
      <c r="F24" s="29"/>
      <c r="H24" s="19" t="s">
        <v>154</v>
      </c>
      <c r="I24" s="56">
        <f>'Video Example'!D21</f>
        <v>96</v>
      </c>
      <c r="J24" s="7"/>
      <c r="K24" s="56">
        <f>'Video Example'!F21</f>
        <v>96</v>
      </c>
      <c r="L24" s="29"/>
      <c r="N24" s="19" t="s">
        <v>154</v>
      </c>
      <c r="O24" s="56">
        <f>Example!D21</f>
        <v>96</v>
      </c>
      <c r="P24" s="7"/>
      <c r="Q24" s="56">
        <f>Example!F21</f>
        <v>96</v>
      </c>
      <c r="R24" s="29"/>
    </row>
    <row r="25" spans="2:18">
      <c r="B25" s="19"/>
      <c r="C25" s="39"/>
      <c r="D25" s="7"/>
      <c r="E25" s="39"/>
      <c r="F25" s="29"/>
      <c r="H25" s="19"/>
      <c r="I25" s="39"/>
      <c r="J25" s="7"/>
      <c r="K25" s="39"/>
      <c r="L25" s="29"/>
      <c r="N25" s="19"/>
      <c r="O25" s="39"/>
      <c r="P25" s="7"/>
      <c r="Q25" s="39"/>
      <c r="R25" s="29"/>
    </row>
    <row r="26" spans="2:18">
      <c r="B26" s="19" t="s">
        <v>164</v>
      </c>
      <c r="C26" s="39">
        <f>'Pricing &amp; Breakeven Calculator'!D30</f>
        <v>0</v>
      </c>
      <c r="D26" s="7"/>
      <c r="E26" s="39">
        <f>'Pricing &amp; Breakeven Calculator'!F30</f>
        <v>0</v>
      </c>
      <c r="F26" s="29"/>
      <c r="H26" s="19" t="s">
        <v>165</v>
      </c>
      <c r="I26" s="39">
        <f>'Video Example'!D30</f>
        <v>0</v>
      </c>
      <c r="J26" s="7"/>
      <c r="K26" s="39">
        <f>'Video Example'!F30</f>
        <v>300</v>
      </c>
      <c r="L26" s="29"/>
      <c r="N26" s="19" t="s">
        <v>165</v>
      </c>
      <c r="O26" s="39">
        <f>Example!D30</f>
        <v>0</v>
      </c>
      <c r="P26" s="7"/>
      <c r="Q26" s="39">
        <f>Example!F30</f>
        <v>2000</v>
      </c>
      <c r="R26" s="29"/>
    </row>
    <row r="27" spans="2:18">
      <c r="B27" s="19" t="s">
        <v>166</v>
      </c>
      <c r="C27" s="39">
        <f>C26/(1+'Pricing &amp; Breakeven Calculator'!D31)</f>
        <v>0</v>
      </c>
      <c r="D27" s="7"/>
      <c r="E27" s="39">
        <f>E26/(1+'Pricing &amp; Breakeven Calculator'!F31)</f>
        <v>0</v>
      </c>
      <c r="F27" s="29"/>
      <c r="H27" s="19" t="s">
        <v>167</v>
      </c>
      <c r="I27" s="39">
        <f>I26/(1+'Video Example'!D31)</f>
        <v>0</v>
      </c>
      <c r="J27" s="7"/>
      <c r="K27" s="39">
        <f>K26/(1+'Video Example'!F31)</f>
        <v>243.90243902439025</v>
      </c>
      <c r="L27" s="29"/>
      <c r="N27" s="19" t="s">
        <v>167</v>
      </c>
      <c r="O27" s="39">
        <f>O26/(1+Example!D31)</f>
        <v>0</v>
      </c>
      <c r="P27" s="7"/>
      <c r="Q27" s="39">
        <f>Q26/(1+Example!F31)</f>
        <v>1834.8623853211009</v>
      </c>
      <c r="R27" s="29"/>
    </row>
    <row r="28" spans="2:18">
      <c r="B28" s="19"/>
      <c r="C28" s="39"/>
      <c r="D28" s="7"/>
      <c r="E28" s="39"/>
      <c r="F28" s="29"/>
      <c r="H28" s="19"/>
      <c r="I28" s="39"/>
      <c r="J28" s="7"/>
      <c r="K28" s="39"/>
      <c r="L28" s="29"/>
      <c r="N28" s="19"/>
      <c r="O28" s="39"/>
      <c r="P28" s="7"/>
      <c r="Q28" s="39"/>
      <c r="R28" s="29"/>
    </row>
    <row r="29" spans="2:18">
      <c r="B29" s="19" t="s">
        <v>168</v>
      </c>
      <c r="C29" s="39">
        <f>'Pricing &amp; Breakeven Calculator'!D33</f>
        <v>0</v>
      </c>
      <c r="D29" s="7"/>
      <c r="E29" s="39">
        <f>'Pricing &amp; Breakeven Calculator'!F33</f>
        <v>0</v>
      </c>
      <c r="F29" s="29"/>
      <c r="H29" s="19" t="s">
        <v>168</v>
      </c>
      <c r="I29" s="39">
        <f>'Video Example'!D33</f>
        <v>0</v>
      </c>
      <c r="J29" s="7"/>
      <c r="K29" s="39">
        <f>'Video Example'!F33</f>
        <v>0</v>
      </c>
      <c r="L29" s="29"/>
      <c r="N29" s="19" t="s">
        <v>168</v>
      </c>
      <c r="O29" s="39">
        <f>Example!D33</f>
        <v>0</v>
      </c>
      <c r="P29" s="7"/>
      <c r="Q29" s="39">
        <f>Example!F33</f>
        <v>500</v>
      </c>
      <c r="R29" s="29"/>
    </row>
    <row r="30" spans="2:18">
      <c r="B30" s="19" t="s">
        <v>169</v>
      </c>
      <c r="C30" s="39">
        <f>C29/(1+'Pricing &amp; Breakeven Calculator'!D34)</f>
        <v>0</v>
      </c>
      <c r="D30" s="7"/>
      <c r="E30" s="39">
        <f>E29/(1+'Pricing &amp; Breakeven Calculator'!F34)</f>
        <v>0</v>
      </c>
      <c r="F30" s="29"/>
      <c r="H30" s="19" t="s">
        <v>169</v>
      </c>
      <c r="I30" s="39">
        <f>I29/(1+'Video Example'!D34)</f>
        <v>0</v>
      </c>
      <c r="J30" s="7"/>
      <c r="K30" s="39">
        <f>K29/(1+'Video Example'!F34)</f>
        <v>0</v>
      </c>
      <c r="L30" s="29"/>
      <c r="N30" s="19" t="s">
        <v>169</v>
      </c>
      <c r="O30" s="39">
        <f>O29/(1+Example!D34)</f>
        <v>0</v>
      </c>
      <c r="P30" s="7"/>
      <c r="Q30" s="39">
        <f>Q29/(1+Example!F34)</f>
        <v>440.52863436123346</v>
      </c>
      <c r="R30" s="29"/>
    </row>
    <row r="31" spans="2:18">
      <c r="B31" s="19"/>
      <c r="C31" s="39"/>
      <c r="D31" s="7"/>
      <c r="E31" s="39"/>
      <c r="F31" s="29"/>
      <c r="H31" s="19"/>
      <c r="I31" s="39"/>
      <c r="J31" s="7"/>
      <c r="K31" s="39"/>
      <c r="L31" s="29"/>
      <c r="N31" s="19"/>
      <c r="O31" s="39"/>
      <c r="P31" s="7"/>
      <c r="Q31" s="39"/>
      <c r="R31" s="29"/>
    </row>
    <row r="32" spans="2:18">
      <c r="B32" s="36" t="s">
        <v>170</v>
      </c>
      <c r="C32" s="10">
        <f>('Pricing &amp; Breakeven Calculator'!D12*'Pricing &amp; Breakeven Calculator'!D13)+('Pricing &amp; Breakeven Calculator'!D15*'Pricing &amp; Breakeven Calculator'!D16)+('Pricing &amp; Breakeven Calculator'!D18*'Pricing &amp; Breakeven Calculator'!D19)+('Pricing &amp; Breakeven Calculator'!D24*'Pricing &amp; Breakeven Calculator'!D21)+('Pricing &amp; Breakeven Calculator'!D27*'Pricing &amp; Breakeven Calculator'!D21)+'Pricing &amp; Breakeven Calculator'!D30</f>
        <v>0</v>
      </c>
      <c r="D32" s="7"/>
      <c r="E32" s="10">
        <f>('Pricing &amp; Breakeven Calculator'!F12*'Pricing &amp; Breakeven Calculator'!F13)+('Pricing &amp; Breakeven Calculator'!F15*'Pricing &amp; Breakeven Calculator'!F16)+('Pricing &amp; Breakeven Calculator'!F18*'Pricing &amp; Breakeven Calculator'!F19)+('Pricing &amp; Breakeven Calculator'!F24*'Pricing &amp; Breakeven Calculator'!F21)+('Pricing &amp; Breakeven Calculator'!F27*'Pricing &amp; Breakeven Calculator'!F21)+'Pricing &amp; Breakeven Calculator'!F30+'Pricing &amp; Breakeven Calculator'!F33</f>
        <v>0</v>
      </c>
      <c r="F32" s="29"/>
      <c r="H32" s="36" t="s">
        <v>170</v>
      </c>
      <c r="I32" s="10">
        <f>('Video Example'!D12*'Video Example'!D13)+('Video Example'!D15*'Video Example'!D16)+('Video Example'!D18*'Video Example'!D19)+('Video Example'!D24*'Video Example'!D21)+('Video Example'!D27*'Video Example'!D21)+'Video Example'!D30+'Video Example'!D33</f>
        <v>6708</v>
      </c>
      <c r="J32" s="10"/>
      <c r="K32" s="10">
        <f>('Video Example'!F12*'Video Example'!F13)+('Video Example'!F15*'Video Example'!F16)+('Video Example'!F18*'Video Example'!F19)+('Video Example'!F24*'Video Example'!F21)+('Video Example'!F27*'Video Example'!F21)+'Video Example'!F30+'Video Example'!F33</f>
        <v>8112</v>
      </c>
      <c r="L32" s="29"/>
      <c r="N32" s="36" t="s">
        <v>170</v>
      </c>
      <c r="O32" s="10">
        <f>(Example!D12*Example!D13)+(Example!D15*Example!D16)+(Example!D18*Example!D19)+(Example!D24*Example!D21)+(Example!D27*Example!D21)+Example!D30+Example!D33</f>
        <v>4780</v>
      </c>
      <c r="P32" s="10"/>
      <c r="Q32" s="10">
        <f>(Example!F12*Example!F13)+(Example!F15*Example!F16)+(Example!F18*Example!F19)+(Example!F24*Example!F21)+(Example!F27*Example!F21)+Example!F30+Example!F33</f>
        <v>10208</v>
      </c>
      <c r="R32" s="29"/>
    </row>
    <row r="33" spans="2:18">
      <c r="B33" s="36" t="s">
        <v>171</v>
      </c>
      <c r="C33" s="10">
        <f>(C12*'Pricing &amp; Breakeven Calculator'!D13)+(C13*'Pricing &amp; Breakeven Calculator'!D16)+(C14*'Pricing &amp; Breakeven Calculator'!D19)+(C19*'Pricing &amp; Breakeven Calculator'!D21)+(C23*'Pricing &amp; Breakeven Calculator'!D21)+C27</f>
        <v>0</v>
      </c>
      <c r="D33" s="7"/>
      <c r="E33" s="10">
        <f>(E12*'Pricing &amp; Breakeven Calculator'!F13)+(E13*'Pricing &amp; Breakeven Calculator'!F16)+(E14*'Pricing &amp; Breakeven Calculator'!F19)+(E19*'Pricing &amp; Breakeven Calculator'!F21)+(E23*'Pricing &amp; Breakeven Calculator'!F21)+E27+E30</f>
        <v>0</v>
      </c>
      <c r="F33" s="29"/>
      <c r="H33" s="36" t="s">
        <v>171</v>
      </c>
      <c r="I33" s="10">
        <f>(I12*'Video Example'!D13)+(I13*'Video Example'!D16)+(I14*'Video Example'!D19)+(I19*'Video Example'!D21)+(I23*'Video Example'!D21)+I27+I30</f>
        <v>5910.1321585903079</v>
      </c>
      <c r="J33" s="7"/>
      <c r="K33" s="10">
        <f>(K12*'Video Example'!F13)+(K13*'Video Example'!F16)+(K14*'Video Example'!F19)+(K19*'Video Example'!F21)+(K23*'Video Example'!F21)+K27+K30</f>
        <v>7090.791877081766</v>
      </c>
      <c r="L33" s="29"/>
      <c r="N33" s="36" t="s">
        <v>171</v>
      </c>
      <c r="O33" s="10">
        <f>(O12*Example!D13)+(O13*Example!D16)+(O14*Example!D19)+(O19*Example!D21)+(O23*Example!D21)+O27+O30</f>
        <v>4211.4537444933922</v>
      </c>
      <c r="P33" s="7"/>
      <c r="Q33" s="10">
        <f>(Q12*Example!F13)+(Q13*Example!F16)+(Q14*Example!F19)+(Q19*Example!F21)+(Q23*Example!F21)+Q27+Q30</f>
        <v>9030.6505017925738</v>
      </c>
      <c r="R33" s="29"/>
    </row>
    <row r="34" spans="2:18">
      <c r="B34" s="36" t="s">
        <v>172</v>
      </c>
      <c r="C34" s="10">
        <f>C33+('Pricing &amp; Breakeven Calculator'!D36*'Pricing &amp; Breakeven Calculator'!D21)</f>
        <v>0</v>
      </c>
      <c r="D34" s="7"/>
      <c r="E34" s="10">
        <f>E33+('Pricing &amp; Breakeven Calculator'!F36*'Pricing &amp; Breakeven Calculator'!F21)</f>
        <v>0</v>
      </c>
      <c r="F34" s="29"/>
      <c r="H34" s="36" t="s">
        <v>172</v>
      </c>
      <c r="I34" s="10">
        <f>I33+('Video Example'!D36*'Video Example'!D21)</f>
        <v>6678.1321585903079</v>
      </c>
      <c r="J34" s="7"/>
      <c r="K34" s="10">
        <f>K33+('Video Example'!F36*'Video Example'!F21)</f>
        <v>7858.791877081766</v>
      </c>
      <c r="L34" s="29"/>
      <c r="N34" s="36" t="s">
        <v>172</v>
      </c>
      <c r="O34" s="10">
        <f>O33+(Example!D36*Example!D21)</f>
        <v>4979.4537444933922</v>
      </c>
      <c r="P34" s="7"/>
      <c r="Q34" s="10">
        <f>Q33+(Example!F36*Example!F21)</f>
        <v>9798.6505017925738</v>
      </c>
      <c r="R34" s="29"/>
    </row>
    <row r="35" spans="2:18">
      <c r="B35" s="19"/>
      <c r="C35" s="7"/>
      <c r="D35" s="7"/>
      <c r="E35" s="7"/>
      <c r="F35" s="29"/>
      <c r="H35" s="19"/>
      <c r="I35" s="7"/>
      <c r="J35" s="7"/>
      <c r="K35" s="7"/>
      <c r="L35" s="29"/>
      <c r="N35" s="19"/>
      <c r="O35" s="7"/>
      <c r="P35" s="7"/>
      <c r="Q35" s="7"/>
      <c r="R35" s="29"/>
    </row>
    <row r="36" spans="2:18">
      <c r="B36" s="36" t="s">
        <v>173</v>
      </c>
      <c r="C36" s="39" t="e">
        <f>C32/C9</f>
        <v>#DIV/0!</v>
      </c>
      <c r="D36" s="7"/>
      <c r="E36" s="39" t="e">
        <f>E32/E9</f>
        <v>#DIV/0!</v>
      </c>
      <c r="F36" s="29"/>
      <c r="H36" s="36" t="s">
        <v>173</v>
      </c>
      <c r="I36" s="39">
        <f>I32/I9</f>
        <v>69.875</v>
      </c>
      <c r="J36" s="7"/>
      <c r="K36" s="39">
        <f>K32/K9</f>
        <v>84.5</v>
      </c>
      <c r="L36" s="29"/>
      <c r="N36" s="36" t="s">
        <v>173</v>
      </c>
      <c r="O36" s="39">
        <f>O32/O9</f>
        <v>49.791666666666664</v>
      </c>
      <c r="P36" s="7"/>
      <c r="Q36" s="39">
        <f>Q32/Q9</f>
        <v>106.33333333333333</v>
      </c>
      <c r="R36" s="29"/>
    </row>
    <row r="37" spans="2:18">
      <c r="B37" s="36" t="s">
        <v>174</v>
      </c>
      <c r="C37" s="39" t="e">
        <f>C33/C9</f>
        <v>#DIV/0!</v>
      </c>
      <c r="D37" s="7"/>
      <c r="E37" s="39" t="e">
        <f>E33/E9</f>
        <v>#DIV/0!</v>
      </c>
      <c r="F37" s="29"/>
      <c r="H37" s="36" t="s">
        <v>174</v>
      </c>
      <c r="I37" s="39">
        <f>I33/I9</f>
        <v>61.563876651982376</v>
      </c>
      <c r="J37" s="7"/>
      <c r="K37" s="39">
        <f>K33/K9</f>
        <v>73.862415386268395</v>
      </c>
      <c r="L37" s="29"/>
      <c r="N37" s="36" t="s">
        <v>174</v>
      </c>
      <c r="O37" s="39">
        <f>O33/O9</f>
        <v>43.869309838472837</v>
      </c>
      <c r="P37" s="7"/>
      <c r="Q37" s="39">
        <f>Q33/Q9</f>
        <v>94.069276060339305</v>
      </c>
      <c r="R37" s="29"/>
    </row>
    <row r="38" spans="2:18">
      <c r="B38" s="36" t="s">
        <v>175</v>
      </c>
      <c r="C38" s="39" t="e">
        <f>C34/C9</f>
        <v>#DIV/0!</v>
      </c>
      <c r="D38" s="7"/>
      <c r="E38" s="39" t="e">
        <f>E34/E9</f>
        <v>#DIV/0!</v>
      </c>
      <c r="F38" s="29"/>
      <c r="H38" s="36" t="s">
        <v>175</v>
      </c>
      <c r="I38" s="39">
        <f>I34/I9</f>
        <v>69.563876651982369</v>
      </c>
      <c r="J38" s="7"/>
      <c r="K38" s="39">
        <f>K34/K9</f>
        <v>81.862415386268395</v>
      </c>
      <c r="L38" s="29"/>
      <c r="N38" s="36" t="s">
        <v>175</v>
      </c>
      <c r="O38" s="39">
        <f>O34/O9</f>
        <v>51.869309838472837</v>
      </c>
      <c r="P38" s="7"/>
      <c r="Q38" s="39">
        <f>Q34/Q9</f>
        <v>102.06927606033931</v>
      </c>
      <c r="R38" s="29"/>
    </row>
    <row r="39" spans="2:18">
      <c r="B39" s="19"/>
      <c r="C39" s="7"/>
      <c r="D39" s="7"/>
      <c r="E39" s="7"/>
      <c r="F39" s="29"/>
      <c r="H39" s="19"/>
      <c r="I39" s="7"/>
      <c r="J39" s="7"/>
      <c r="K39" s="7"/>
      <c r="L39" s="29"/>
      <c r="N39" s="19"/>
      <c r="O39" s="7"/>
      <c r="P39" s="7"/>
      <c r="Q39" s="7"/>
      <c r="R39" s="29"/>
    </row>
    <row r="40" spans="2:18">
      <c r="B40" s="19"/>
      <c r="C40" s="7"/>
      <c r="D40" s="7"/>
      <c r="E40" s="7"/>
      <c r="F40" s="29"/>
      <c r="H40" s="19"/>
      <c r="I40" s="7"/>
      <c r="J40" s="7"/>
      <c r="K40" s="7"/>
      <c r="L40" s="29"/>
      <c r="N40" s="19"/>
      <c r="O40" s="7"/>
      <c r="P40" s="7"/>
      <c r="Q40" s="7"/>
      <c r="R40" s="29"/>
    </row>
    <row r="41" spans="2:18">
      <c r="B41" s="31" t="s">
        <v>176</v>
      </c>
      <c r="C41" s="67"/>
      <c r="D41" s="72">
        <f>C9</f>
        <v>0</v>
      </c>
      <c r="E41" s="72"/>
      <c r="F41" s="78">
        <f>E9</f>
        <v>0</v>
      </c>
      <c r="H41" s="31" t="s">
        <v>176</v>
      </c>
      <c r="I41" s="67"/>
      <c r="J41" s="72">
        <f>I9</f>
        <v>96</v>
      </c>
      <c r="K41" s="72"/>
      <c r="L41" s="78">
        <f>K9</f>
        <v>96</v>
      </c>
      <c r="N41" s="31" t="s">
        <v>176</v>
      </c>
      <c r="O41" s="67"/>
      <c r="P41" s="72">
        <f>O9</f>
        <v>96</v>
      </c>
      <c r="Q41" s="67"/>
      <c r="R41" s="78">
        <f>Q9</f>
        <v>96</v>
      </c>
    </row>
    <row r="42" spans="2:18">
      <c r="B42" s="31" t="s">
        <v>75</v>
      </c>
      <c r="C42" s="7"/>
      <c r="D42" s="73" t="s">
        <v>177</v>
      </c>
      <c r="E42" s="73"/>
      <c r="F42" s="79" t="s">
        <v>177</v>
      </c>
      <c r="H42" s="31" t="s">
        <v>75</v>
      </c>
      <c r="I42" s="7"/>
      <c r="J42" s="73" t="s">
        <v>177</v>
      </c>
      <c r="K42" s="73"/>
      <c r="L42" s="79" t="s">
        <v>177</v>
      </c>
      <c r="N42" s="31" t="s">
        <v>75</v>
      </c>
      <c r="O42" s="7"/>
      <c r="P42" s="73" t="s">
        <v>177</v>
      </c>
      <c r="Q42" s="7"/>
      <c r="R42" s="79" t="s">
        <v>177</v>
      </c>
    </row>
    <row r="43" spans="2:18">
      <c r="B43" s="19" t="s">
        <v>178</v>
      </c>
      <c r="C43" s="10">
        <f>C44*C9</f>
        <v>0</v>
      </c>
      <c r="D43" s="10" t="e">
        <f>C43/$D$41</f>
        <v>#DIV/0!</v>
      </c>
      <c r="E43" s="10">
        <f>E44*E9</f>
        <v>0</v>
      </c>
      <c r="F43" s="32" t="e">
        <f>E43/$F$41</f>
        <v>#DIV/0!</v>
      </c>
      <c r="H43" s="19" t="s">
        <v>178</v>
      </c>
      <c r="I43" s="10">
        <f>I44*I9</f>
        <v>2976</v>
      </c>
      <c r="J43" s="10">
        <f>I43/$J$41</f>
        <v>31</v>
      </c>
      <c r="K43" s="10">
        <f>K44*K9</f>
        <v>2976</v>
      </c>
      <c r="L43" s="32">
        <f>K43/$L$41</f>
        <v>31</v>
      </c>
      <c r="N43" s="19" t="s">
        <v>178</v>
      </c>
      <c r="O43" s="10">
        <f>O44*O9</f>
        <v>2016</v>
      </c>
      <c r="P43" s="10">
        <f>O43/$P$41</f>
        <v>21</v>
      </c>
      <c r="Q43" s="10">
        <f>Q44*Q9</f>
        <v>2016</v>
      </c>
      <c r="R43" s="32">
        <f>Q43/$R$41</f>
        <v>21</v>
      </c>
    </row>
    <row r="44" spans="2:18">
      <c r="B44" s="19" t="s">
        <v>179</v>
      </c>
      <c r="C44" s="66">
        <f>'Pricing &amp; Breakeven Calculator'!D39</f>
        <v>0</v>
      </c>
      <c r="D44" s="7"/>
      <c r="E44" s="66">
        <f>'Pricing &amp; Breakeven Calculator'!F39</f>
        <v>0</v>
      </c>
      <c r="F44" s="29"/>
      <c r="H44" s="19" t="s">
        <v>179</v>
      </c>
      <c r="I44" s="66">
        <f>'Video Example'!D39</f>
        <v>31</v>
      </c>
      <c r="J44" s="7"/>
      <c r="K44" s="66">
        <f>'Video Example'!F39</f>
        <v>31</v>
      </c>
      <c r="L44" s="29"/>
      <c r="N44" s="19" t="s">
        <v>179</v>
      </c>
      <c r="O44" s="66">
        <f>Example!D39</f>
        <v>21</v>
      </c>
      <c r="P44" s="7"/>
      <c r="Q44" s="66">
        <f>Example!F39</f>
        <v>21</v>
      </c>
      <c r="R44" s="29"/>
    </row>
    <row r="45" spans="2:18">
      <c r="B45" s="19" t="s">
        <v>180</v>
      </c>
      <c r="C45" s="10">
        <f>C46*C20</f>
        <v>0</v>
      </c>
      <c r="D45" s="10" t="e">
        <f>C45/$D$41</f>
        <v>#DIV/0!</v>
      </c>
      <c r="E45" s="10">
        <f>E46*E20</f>
        <v>0</v>
      </c>
      <c r="F45" s="32" t="e">
        <f>E45/$F$41</f>
        <v>#DIV/0!</v>
      </c>
      <c r="H45" s="19" t="s">
        <v>180</v>
      </c>
      <c r="I45" s="10">
        <f>I46*I20</f>
        <v>0</v>
      </c>
      <c r="J45" s="10">
        <f>I45/$J$41</f>
        <v>0</v>
      </c>
      <c r="K45" s="10">
        <f>K46*K20</f>
        <v>134.39999999999998</v>
      </c>
      <c r="L45" s="32">
        <f>K45/$L$41</f>
        <v>1.3999999999999997</v>
      </c>
      <c r="N45" s="19" t="s">
        <v>180</v>
      </c>
      <c r="O45" s="10">
        <f>O46*O20</f>
        <v>0</v>
      </c>
      <c r="P45" s="10">
        <f>O45/$P$41</f>
        <v>0</v>
      </c>
      <c r="Q45" s="10">
        <f>Q46*Q20</f>
        <v>912</v>
      </c>
      <c r="R45" s="32">
        <f>Q45/$R$41</f>
        <v>9.5</v>
      </c>
    </row>
    <row r="46" spans="2:18">
      <c r="B46" s="19" t="s">
        <v>181</v>
      </c>
      <c r="C46" s="66">
        <f>'Pricing &amp; Breakeven Calculator'!D40</f>
        <v>0</v>
      </c>
      <c r="D46" s="7"/>
      <c r="E46" s="66">
        <f>'Pricing &amp; Breakeven Calculator'!F40</f>
        <v>0</v>
      </c>
      <c r="F46" s="29"/>
      <c r="H46" s="19" t="s">
        <v>181</v>
      </c>
      <c r="I46" s="66">
        <f>'Video Example'!D40</f>
        <v>0</v>
      </c>
      <c r="J46" s="7"/>
      <c r="K46" s="66">
        <f>'Video Example'!F40</f>
        <v>1.4</v>
      </c>
      <c r="L46" s="29"/>
      <c r="N46" s="19" t="s">
        <v>181</v>
      </c>
      <c r="O46" s="66">
        <f>Example!D40</f>
        <v>0</v>
      </c>
      <c r="P46" s="7"/>
      <c r="Q46" s="66">
        <f>Example!F40</f>
        <v>9.5</v>
      </c>
      <c r="R46" s="29"/>
    </row>
    <row r="47" spans="2:18">
      <c r="B47" s="19" t="s">
        <v>182</v>
      </c>
      <c r="C47" s="10">
        <f>C48*C24</f>
        <v>0</v>
      </c>
      <c r="D47" s="10" t="e">
        <f>C47/$D$41</f>
        <v>#DIV/0!</v>
      </c>
      <c r="E47" s="10">
        <f>E48*E24</f>
        <v>0</v>
      </c>
      <c r="F47" s="32" t="e">
        <f>E47/$F$41</f>
        <v>#DIV/0!</v>
      </c>
      <c r="H47" s="19" t="s">
        <v>182</v>
      </c>
      <c r="I47" s="10">
        <f>I48*I24</f>
        <v>0</v>
      </c>
      <c r="J47" s="10">
        <f>I47/$J$41</f>
        <v>0</v>
      </c>
      <c r="K47" s="10">
        <f>K48*K24</f>
        <v>48</v>
      </c>
      <c r="L47" s="32">
        <f>K47/$L$41</f>
        <v>0.5</v>
      </c>
      <c r="N47" s="19" t="s">
        <v>182</v>
      </c>
      <c r="O47" s="10">
        <f>O48*O24</f>
        <v>0</v>
      </c>
      <c r="P47" s="10">
        <f>O47/$P$41</f>
        <v>0</v>
      </c>
      <c r="Q47" s="10">
        <f>Q48*Q24</f>
        <v>134.39999999999998</v>
      </c>
      <c r="R47" s="32">
        <f>Q47/$R$41</f>
        <v>1.3999999999999997</v>
      </c>
    </row>
    <row r="48" spans="2:18">
      <c r="B48" s="19" t="s">
        <v>183</v>
      </c>
      <c r="C48" s="66">
        <f>'Pricing &amp; Breakeven Calculator'!D41</f>
        <v>0</v>
      </c>
      <c r="D48" s="7"/>
      <c r="E48" s="66">
        <f>'Pricing &amp; Breakeven Calculator'!F41</f>
        <v>0</v>
      </c>
      <c r="F48" s="29"/>
      <c r="H48" s="19" t="s">
        <v>183</v>
      </c>
      <c r="I48" s="66">
        <f>'Video Example'!D41</f>
        <v>0</v>
      </c>
      <c r="J48" s="7"/>
      <c r="K48" s="66">
        <f>'Video Example'!F41</f>
        <v>0.5</v>
      </c>
      <c r="L48" s="29"/>
      <c r="N48" s="19" t="s">
        <v>183</v>
      </c>
      <c r="O48" s="66">
        <f>Example!D41</f>
        <v>0</v>
      </c>
      <c r="P48" s="7"/>
      <c r="Q48" s="66">
        <f>Example!F41</f>
        <v>1.4</v>
      </c>
      <c r="R48" s="29"/>
    </row>
    <row r="49" spans="2:18">
      <c r="B49" s="19" t="s">
        <v>184</v>
      </c>
      <c r="C49" s="66">
        <f>'Pricing &amp; Breakeven Calculator'!D42</f>
        <v>0</v>
      </c>
      <c r="D49" s="10" t="e">
        <f>C49/$D$41</f>
        <v>#DIV/0!</v>
      </c>
      <c r="E49" s="66">
        <f>'Pricing &amp; Breakeven Calculator'!F42</f>
        <v>0</v>
      </c>
      <c r="F49" s="32" t="e">
        <f>E49/$F$41</f>
        <v>#DIV/0!</v>
      </c>
      <c r="H49" s="19" t="s">
        <v>184</v>
      </c>
      <c r="I49" s="66">
        <f>'Video Example'!D42</f>
        <v>0</v>
      </c>
      <c r="J49" s="10">
        <f>I49/$J$41</f>
        <v>0</v>
      </c>
      <c r="K49" s="66">
        <f>'Video Example'!F42</f>
        <v>175</v>
      </c>
      <c r="L49" s="32">
        <f>K49/$L$41</f>
        <v>1.8229166666666667</v>
      </c>
      <c r="N49" s="19" t="s">
        <v>184</v>
      </c>
      <c r="O49" s="66">
        <f>Example!D42</f>
        <v>0</v>
      </c>
      <c r="P49" s="10">
        <f>O49/$P$41</f>
        <v>0</v>
      </c>
      <c r="Q49" s="66">
        <f>Example!F42</f>
        <v>1400</v>
      </c>
      <c r="R49" s="32">
        <f>Q49/$R$41</f>
        <v>14.583333333333334</v>
      </c>
    </row>
    <row r="50" spans="2:18">
      <c r="B50" s="19" t="s">
        <v>185</v>
      </c>
      <c r="C50" s="66">
        <f>'Pricing &amp; Breakeven Calculator'!D43</f>
        <v>0</v>
      </c>
      <c r="D50" s="10" t="e">
        <f>C50/$D$41</f>
        <v>#DIV/0!</v>
      </c>
      <c r="E50" s="66">
        <f>'Pricing &amp; Breakeven Calculator'!F43</f>
        <v>0</v>
      </c>
      <c r="F50" s="32" t="e">
        <f>E50/$F$41</f>
        <v>#DIV/0!</v>
      </c>
      <c r="H50" s="19" t="s">
        <v>185</v>
      </c>
      <c r="I50" s="66">
        <f>'Video Example'!D43</f>
        <v>0</v>
      </c>
      <c r="J50" s="10">
        <f>I50/$J$41</f>
        <v>0</v>
      </c>
      <c r="K50" s="66">
        <f>'Video Example'!F43</f>
        <v>0</v>
      </c>
      <c r="L50" s="32">
        <f>K50/$L$41</f>
        <v>0</v>
      </c>
      <c r="N50" s="19" t="s">
        <v>185</v>
      </c>
      <c r="O50" s="66">
        <f>Example!D43</f>
        <v>0</v>
      </c>
      <c r="P50" s="10">
        <f>O50/$P$41</f>
        <v>0</v>
      </c>
      <c r="Q50" s="66">
        <f>Example!F43</f>
        <v>200</v>
      </c>
      <c r="R50" s="32">
        <f>Q50/$R$41</f>
        <v>2.0833333333333335</v>
      </c>
    </row>
    <row r="51" spans="2:18">
      <c r="B51" s="93"/>
      <c r="C51" s="94"/>
      <c r="D51" s="94"/>
      <c r="E51" s="94"/>
      <c r="F51" s="95"/>
      <c r="H51" s="93"/>
      <c r="I51" s="94"/>
      <c r="J51" s="94"/>
      <c r="K51" s="94"/>
      <c r="L51" s="95"/>
      <c r="N51" s="93"/>
      <c r="O51" s="94"/>
      <c r="P51" s="94"/>
      <c r="Q51" s="94"/>
      <c r="R51" s="95"/>
    </row>
    <row r="52" spans="2:18">
      <c r="B52" s="19" t="s">
        <v>186</v>
      </c>
      <c r="C52" s="10">
        <f>C53*C9</f>
        <v>0</v>
      </c>
      <c r="D52" s="10" t="e">
        <f>C52/$D$41</f>
        <v>#DIV/0!</v>
      </c>
      <c r="E52" s="10">
        <f>E53*E9</f>
        <v>0</v>
      </c>
      <c r="F52" s="32" t="e">
        <f>E52/$F$41</f>
        <v>#DIV/0!</v>
      </c>
      <c r="H52" s="19" t="s">
        <v>186</v>
      </c>
      <c r="I52" s="10">
        <f>I53*I9</f>
        <v>144</v>
      </c>
      <c r="J52" s="10">
        <f>I52/$J$41</f>
        <v>1.5</v>
      </c>
      <c r="K52" s="10">
        <f>K53*K9</f>
        <v>144</v>
      </c>
      <c r="L52" s="32">
        <f>K52/$L$41</f>
        <v>1.5</v>
      </c>
      <c r="N52" s="19" t="s">
        <v>186</v>
      </c>
      <c r="O52" s="10">
        <f>O53*O9</f>
        <v>144</v>
      </c>
      <c r="P52" s="10">
        <f>O52/$P$41</f>
        <v>1.5</v>
      </c>
      <c r="Q52" s="10">
        <f>Q53*Q9</f>
        <v>144</v>
      </c>
      <c r="R52" s="32">
        <f>Q52/$R$41</f>
        <v>1.5</v>
      </c>
    </row>
    <row r="53" spans="2:18">
      <c r="B53" s="19" t="s">
        <v>187</v>
      </c>
      <c r="C53" s="66">
        <f>'Pricing &amp; Breakeven Calculator'!D44</f>
        <v>0</v>
      </c>
      <c r="D53" s="7"/>
      <c r="E53" s="66">
        <f>'Pricing &amp; Breakeven Calculator'!F44</f>
        <v>0</v>
      </c>
      <c r="F53" s="29"/>
      <c r="H53" s="19" t="s">
        <v>187</v>
      </c>
      <c r="I53" s="66">
        <f>'Video Example'!D44</f>
        <v>1.5</v>
      </c>
      <c r="J53" s="7"/>
      <c r="K53" s="66">
        <f>'Video Example'!F44</f>
        <v>1.5</v>
      </c>
      <c r="L53" s="29"/>
      <c r="N53" s="19" t="s">
        <v>187</v>
      </c>
      <c r="O53" s="66">
        <f>Example!D44</f>
        <v>1.5</v>
      </c>
      <c r="P53" s="7"/>
      <c r="Q53" s="66">
        <f>Example!F44</f>
        <v>1.5</v>
      </c>
      <c r="R53" s="29"/>
    </row>
    <row r="54" spans="2:18">
      <c r="B54" s="19"/>
      <c r="C54" s="7"/>
      <c r="D54" s="7"/>
      <c r="E54" s="7"/>
      <c r="F54" s="29"/>
      <c r="H54" s="19"/>
      <c r="I54" s="7"/>
      <c r="J54" s="7"/>
      <c r="K54" s="7"/>
      <c r="L54" s="29"/>
      <c r="N54" s="19"/>
      <c r="O54" s="7"/>
      <c r="P54" s="7"/>
      <c r="Q54" s="7"/>
      <c r="R54" s="29"/>
    </row>
    <row r="55" spans="2:18">
      <c r="B55" s="19" t="s">
        <v>188</v>
      </c>
      <c r="C55" s="10">
        <f>'Pricing &amp; Breakeven Calculator'!D45*C32</f>
        <v>0</v>
      </c>
      <c r="D55" s="10" t="e">
        <f>C55/$D$41</f>
        <v>#DIV/0!</v>
      </c>
      <c r="E55" s="10">
        <f>'Pricing &amp; Breakeven Calculator'!F45*E32</f>
        <v>0</v>
      </c>
      <c r="F55" s="32" t="e">
        <f>E55/$F$41</f>
        <v>#DIV/0!</v>
      </c>
      <c r="H55" s="19" t="s">
        <v>188</v>
      </c>
      <c r="I55" s="10">
        <f>'Video Example'!D45*I32</f>
        <v>201.23999999999998</v>
      </c>
      <c r="J55" s="10">
        <f>I55/$J$41</f>
        <v>2.0962499999999999</v>
      </c>
      <c r="K55" s="10">
        <f>'Video Example'!F45*K32</f>
        <v>243.35999999999999</v>
      </c>
      <c r="L55" s="32">
        <f>K55/$L$41</f>
        <v>2.5349999999999997</v>
      </c>
      <c r="N55" s="19" t="s">
        <v>188</v>
      </c>
      <c r="O55" s="10">
        <f>Example!D45*O32</f>
        <v>143.4</v>
      </c>
      <c r="P55" s="10">
        <f>O55/$P$41</f>
        <v>1.4937500000000001</v>
      </c>
      <c r="Q55" s="10">
        <f>Example!F45*Q32</f>
        <v>306.24</v>
      </c>
      <c r="R55" s="32">
        <f>Q55/$R$41</f>
        <v>3.19</v>
      </c>
    </row>
    <row r="56" spans="2:18">
      <c r="B56" s="19" t="s">
        <v>189</v>
      </c>
      <c r="C56" s="10">
        <f>'Pricing &amp; Breakeven Calculator'!D46*C34</f>
        <v>0</v>
      </c>
      <c r="D56" s="10" t="e">
        <f>C56/$D$41</f>
        <v>#DIV/0!</v>
      </c>
      <c r="E56" s="10">
        <f>'Pricing &amp; Breakeven Calculator'!F46*E34</f>
        <v>0</v>
      </c>
      <c r="F56" s="32" t="e">
        <f>E56/$F$41</f>
        <v>#DIV/0!</v>
      </c>
      <c r="H56" s="19" t="s">
        <v>189</v>
      </c>
      <c r="I56" s="10">
        <f>'Video Example'!D46*I34</f>
        <v>1141.9605991189428</v>
      </c>
      <c r="J56" s="10">
        <f>I56/$J$41</f>
        <v>11.895422907488987</v>
      </c>
      <c r="K56" s="10">
        <f>'Video Example'!F46*K34</f>
        <v>1343.8534109809821</v>
      </c>
      <c r="L56" s="32">
        <f>K56/$L$41</f>
        <v>13.998473031051896</v>
      </c>
      <c r="N56" s="19" t="s">
        <v>189</v>
      </c>
      <c r="O56" s="10">
        <f>Example!D46*O34</f>
        <v>796.71259911894276</v>
      </c>
      <c r="P56" s="10">
        <f>O56/$P$41</f>
        <v>8.2990895741556532</v>
      </c>
      <c r="Q56" s="10">
        <f>Example!F46*Q34</f>
        <v>1695.1665368101151</v>
      </c>
      <c r="R56" s="32">
        <f>Q56/$R$41</f>
        <v>17.657984758438698</v>
      </c>
    </row>
    <row r="57" spans="2:18">
      <c r="B57" s="36" t="s">
        <v>190</v>
      </c>
      <c r="C57" s="39" t="e">
        <f>C55/C9</f>
        <v>#DIV/0!</v>
      </c>
      <c r="D57" s="22"/>
      <c r="E57" s="39" t="e">
        <f>E55/E9</f>
        <v>#DIV/0!</v>
      </c>
      <c r="F57" s="65"/>
      <c r="H57" s="36" t="s">
        <v>190</v>
      </c>
      <c r="I57" s="39">
        <f>I55/I9</f>
        <v>2.0962499999999999</v>
      </c>
      <c r="J57" s="22"/>
      <c r="K57" s="39">
        <f>K55/K9</f>
        <v>2.5349999999999997</v>
      </c>
      <c r="L57" s="65"/>
      <c r="N57" s="36" t="s">
        <v>190</v>
      </c>
      <c r="O57" s="39">
        <f>O55/O9</f>
        <v>1.4937500000000001</v>
      </c>
      <c r="P57" s="22"/>
      <c r="Q57" s="39">
        <f>Q55/Q9</f>
        <v>3.19</v>
      </c>
      <c r="R57" s="65"/>
    </row>
    <row r="58" spans="2:18">
      <c r="B58" s="36" t="s">
        <v>191</v>
      </c>
      <c r="C58" s="39" t="e">
        <f>C56/C9</f>
        <v>#DIV/0!</v>
      </c>
      <c r="D58" s="22"/>
      <c r="E58" s="39" t="e">
        <f>E56/E9</f>
        <v>#DIV/0!</v>
      </c>
      <c r="F58" s="65"/>
      <c r="H58" s="36" t="s">
        <v>191</v>
      </c>
      <c r="I58" s="39">
        <f>I56/I9</f>
        <v>11.895422907488987</v>
      </c>
      <c r="J58" s="22"/>
      <c r="K58" s="39">
        <f>K56/K9</f>
        <v>13.998473031051896</v>
      </c>
      <c r="L58" s="65"/>
      <c r="N58" s="36" t="s">
        <v>191</v>
      </c>
      <c r="O58" s="39">
        <f>O56/O9</f>
        <v>8.2990895741556532</v>
      </c>
      <c r="P58" s="22"/>
      <c r="Q58" s="39">
        <f>Q56/Q9</f>
        <v>17.657984758438698</v>
      </c>
      <c r="R58" s="65"/>
    </row>
    <row r="59" spans="2:18">
      <c r="B59" s="36" t="s">
        <v>192</v>
      </c>
      <c r="C59" s="22"/>
      <c r="D59" s="39" t="e">
        <f>SUM(D43:D58)</f>
        <v>#DIV/0!</v>
      </c>
      <c r="E59" s="22"/>
      <c r="F59" s="55" t="e">
        <f>SUM(F43:F58)</f>
        <v>#DIV/0!</v>
      </c>
      <c r="H59" s="36" t="s">
        <v>192</v>
      </c>
      <c r="I59" s="22"/>
      <c r="J59" s="39">
        <f>SUM(J43:J58)</f>
        <v>46.491672907488983</v>
      </c>
      <c r="K59" s="22"/>
      <c r="L59" s="55">
        <f>SUM(L43:L58)</f>
        <v>52.756389697718554</v>
      </c>
      <c r="N59" s="36" t="s">
        <v>192</v>
      </c>
      <c r="O59" s="22"/>
      <c r="P59" s="39">
        <f>SUM(P43:P58)</f>
        <v>32.29283957415565</v>
      </c>
      <c r="Q59" s="22"/>
      <c r="R59" s="55">
        <f>SUM(R43:R58)</f>
        <v>70.914651425105362</v>
      </c>
    </row>
    <row r="60" spans="2:18">
      <c r="B60" s="19"/>
      <c r="C60" s="7"/>
      <c r="D60" s="10"/>
      <c r="E60" s="7"/>
      <c r="F60" s="32"/>
      <c r="H60" s="19"/>
      <c r="I60" s="7"/>
      <c r="J60" s="10"/>
      <c r="K60" s="7"/>
      <c r="L60" s="32"/>
      <c r="N60" s="19"/>
      <c r="O60" s="7"/>
      <c r="P60" s="10"/>
      <c r="Q60" s="7"/>
      <c r="R60" s="32"/>
    </row>
    <row r="61" spans="2:18">
      <c r="B61" s="19"/>
      <c r="C61" s="7"/>
      <c r="D61" s="22"/>
      <c r="E61" s="7"/>
      <c r="F61" s="65"/>
      <c r="H61" s="19"/>
      <c r="I61" s="7"/>
      <c r="J61" s="22"/>
      <c r="K61" s="7"/>
      <c r="L61" s="65"/>
      <c r="N61" s="19"/>
      <c r="O61" s="7"/>
      <c r="P61" s="22"/>
      <c r="Q61" s="7"/>
      <c r="R61" s="65"/>
    </row>
    <row r="62" spans="2:18">
      <c r="B62" s="31" t="s">
        <v>193</v>
      </c>
      <c r="C62" s="67" t="e">
        <f>C64/(C38-D59)</f>
        <v>#DIV/0!</v>
      </c>
      <c r="D62" s="56"/>
      <c r="E62" s="67" t="e">
        <f>E64/(E38-F59)</f>
        <v>#DIV/0!</v>
      </c>
      <c r="F62" s="65"/>
      <c r="H62" s="31" t="s">
        <v>193</v>
      </c>
      <c r="I62" s="67">
        <f>I64/(I38-J59)</f>
        <v>96.002966362875128</v>
      </c>
      <c r="J62" s="56"/>
      <c r="K62" s="67">
        <f>K64/(K38-L59)</f>
        <v>78.33429491189311</v>
      </c>
      <c r="L62" s="65"/>
      <c r="N62" s="31" t="s">
        <v>193</v>
      </c>
      <c r="O62" s="67">
        <f>O64/(O38-P59)</f>
        <v>96.033655435155282</v>
      </c>
      <c r="P62" s="56"/>
      <c r="Q62" s="67">
        <f>Q64/(Q38-R59)</f>
        <v>66.76376378637697</v>
      </c>
      <c r="R62" s="65"/>
    </row>
    <row r="63" spans="2:18">
      <c r="B63" s="19" t="s">
        <v>194</v>
      </c>
      <c r="C63" s="10">
        <f>C43+C45+C47+C52+C55+C56+C49</f>
        <v>0</v>
      </c>
      <c r="D63" s="7"/>
      <c r="E63" s="10">
        <f>E43+E45+E47+E52+E55+E56+E49+E50</f>
        <v>0</v>
      </c>
      <c r="F63" s="29"/>
      <c r="H63" s="19" t="s">
        <v>194</v>
      </c>
      <c r="I63" s="10">
        <f>I43+I45+I47+I52+I55+I56+I49+I50</f>
        <v>4463.2005991189426</v>
      </c>
      <c r="J63" s="7"/>
      <c r="K63" s="10">
        <f>K43+K45+K47+K52+K55+K56+K49+K50</f>
        <v>5064.6134109809827</v>
      </c>
      <c r="L63" s="29"/>
      <c r="N63" s="19" t="s">
        <v>194</v>
      </c>
      <c r="O63" s="10">
        <f>O43+O45+O47+O52+O55+O56+O49+O50</f>
        <v>3100.1125991189429</v>
      </c>
      <c r="P63" s="7"/>
      <c r="Q63" s="10">
        <f>Q43+Q45+Q47+Q52+Q55+Q56+Q49+Q50</f>
        <v>6807.8065368101152</v>
      </c>
      <c r="R63" s="29"/>
    </row>
    <row r="64" spans="2:18">
      <c r="B64" s="19" t="s">
        <v>195</v>
      </c>
      <c r="C64" s="10">
        <f>'Pricing &amp; Breakeven Calculator'!D47+'Pricing &amp; Breakeven Calculator'!D48</f>
        <v>0</v>
      </c>
      <c r="D64" s="22"/>
      <c r="E64" s="10">
        <f>'Pricing &amp; Breakeven Calculator'!F47+'Pricing &amp; Breakeven Calculator'!F48</f>
        <v>0</v>
      </c>
      <c r="F64" s="65"/>
      <c r="H64" s="19" t="s">
        <v>195</v>
      </c>
      <c r="I64" s="10">
        <f>'Video Example'!D47+'Video Example'!D48</f>
        <v>2215</v>
      </c>
      <c r="J64" s="22"/>
      <c r="K64" s="10">
        <f>'Video Example'!F47+'Video Example'!F48</f>
        <v>2280</v>
      </c>
      <c r="L64" s="65"/>
      <c r="N64" s="19" t="s">
        <v>195</v>
      </c>
      <c r="O64" s="10">
        <f>Example!D47+Example!D48</f>
        <v>1880</v>
      </c>
      <c r="P64" s="22"/>
      <c r="Q64" s="10">
        <f>Example!F47+Example!F48</f>
        <v>2080</v>
      </c>
      <c r="R64" s="65"/>
    </row>
    <row r="65" spans="2:18" ht="15.75" thickBot="1">
      <c r="B65" s="80" t="s">
        <v>196</v>
      </c>
      <c r="C65" s="81">
        <f>C34-C63-C64</f>
        <v>0</v>
      </c>
      <c r="D65" s="57"/>
      <c r="E65" s="81">
        <f>E34-E63-E64</f>
        <v>0</v>
      </c>
      <c r="F65" s="82"/>
      <c r="H65" s="80" t="s">
        <v>196</v>
      </c>
      <c r="I65" s="81">
        <f>I34-I63-I64</f>
        <v>-6.8440528634710063E-2</v>
      </c>
      <c r="J65" s="57"/>
      <c r="K65" s="81">
        <f>K34-K63-K64</f>
        <v>514.17846610078323</v>
      </c>
      <c r="L65" s="82"/>
      <c r="N65" s="80" t="s">
        <v>196</v>
      </c>
      <c r="O65" s="81">
        <f>O34-O63-O64</f>
        <v>-0.65885462555070262</v>
      </c>
      <c r="P65" s="57"/>
      <c r="Q65" s="81">
        <f>Q34-Q63-Q64</f>
        <v>910.8439649824586</v>
      </c>
      <c r="R65" s="82"/>
    </row>
  </sheetData>
  <mergeCells count="3">
    <mergeCell ref="B3:F3"/>
    <mergeCell ref="H3:L3"/>
    <mergeCell ref="N3:R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2" ma:contentTypeDescription="Create a new document." ma:contentTypeScope="" ma:versionID="eb1bc00005ba0deda64b70f10b4642f0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118fff212a56f403d23ccfb98039753d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78801f-0822-4fc8-ab90-e8bb196aef6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A4990E9-D1F9-4671-90F3-C0CA41D61579}"/>
</file>

<file path=customXml/itemProps2.xml><?xml version="1.0" encoding="utf-8"?>
<ds:datastoreItem xmlns:ds="http://schemas.openxmlformats.org/officeDocument/2006/customXml" ds:itemID="{905A766F-3DEE-4533-A755-DBE181BEF38C}"/>
</file>

<file path=customXml/itemProps3.xml><?xml version="1.0" encoding="utf-8"?>
<ds:datastoreItem xmlns:ds="http://schemas.openxmlformats.org/officeDocument/2006/customXml" ds:itemID="{926C6D7D-2EC2-4B96-9C62-692858800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mairead</dc:creator>
  <cp:keywords/>
  <dc:description/>
  <cp:lastModifiedBy>Gemma Costello</cp:lastModifiedBy>
  <cp:revision/>
  <dcterms:created xsi:type="dcterms:W3CDTF">2016-09-07T11:45:52Z</dcterms:created>
  <dcterms:modified xsi:type="dcterms:W3CDTF">2020-07-17T10:13:49Z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  <property fmtid="{D5CDD505-2E9C-101B-9397-08002B2CF9AE}" pid="3" name="Order">
    <vt:r8>13279500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